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aea8c7b590f47f11/Dokumente/"/>
    </mc:Choice>
  </mc:AlternateContent>
  <xr:revisionPtr revIDLastSave="0" documentId="8_{EA163577-FBA7-48A0-A5B6-9F0B30A96227}" xr6:coauthVersionLast="47" xr6:coauthVersionMax="47" xr10:uidLastSave="{00000000-0000-0000-0000-000000000000}"/>
  <bookViews>
    <workbookView xWindow="20655" yWindow="315" windowWidth="20265" windowHeight="14985" xr2:uid="{00000000-000D-0000-FFFF-FFFF00000000}"/>
  </bookViews>
  <sheets>
    <sheet name="StB" sheetId="6" r:id="rId1"/>
    <sheet name="HB BilMoG 10 Jahre" sheetId="4" r:id="rId2"/>
    <sheet name="HB BilMoG 11 Jahre" sheetId="1" r:id="rId3"/>
    <sheet name="Impressum und Lizenz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4" l="1"/>
  <c r="A17" i="4"/>
  <c r="A16" i="4"/>
  <c r="A15" i="4"/>
  <c r="A14" i="4"/>
  <c r="A13" i="4"/>
  <c r="A12" i="4"/>
  <c r="A11" i="4"/>
  <c r="A10" i="4"/>
  <c r="A9" i="4"/>
  <c r="K19" i="1" l="1"/>
  <c r="K18" i="4"/>
  <c r="E18" i="4"/>
  <c r="H18" i="4" s="1"/>
  <c r="E17" i="4"/>
  <c r="E17" i="1" s="1"/>
  <c r="E16" i="4"/>
  <c r="E15" i="4"/>
  <c r="E15" i="1" s="1"/>
  <c r="K14" i="1" s="1"/>
  <c r="H14" i="1" s="1"/>
  <c r="E14" i="4"/>
  <c r="E13" i="4"/>
  <c r="E13" i="1" s="1"/>
  <c r="E12" i="4"/>
  <c r="E12" i="1" s="1"/>
  <c r="E10" i="4"/>
  <c r="E10" i="1" s="1"/>
  <c r="E19" i="1"/>
  <c r="E11" i="1"/>
  <c r="K10" i="1" s="1"/>
  <c r="E14" i="1"/>
  <c r="K13" i="1" s="1"/>
  <c r="E16" i="1"/>
  <c r="K15" i="1" s="1"/>
  <c r="E18" i="1"/>
  <c r="K17" i="1" s="1"/>
  <c r="K13" i="4"/>
  <c r="H13" i="4" s="1"/>
  <c r="K14" i="4"/>
  <c r="K15" i="4"/>
  <c r="H15" i="4" s="1"/>
  <c r="K16" i="4"/>
  <c r="H16" i="4" s="1"/>
  <c r="K17" i="4"/>
  <c r="H17" i="4" s="1"/>
  <c r="K10" i="4"/>
  <c r="A19" i="1"/>
  <c r="A10" i="1"/>
  <c r="A11" i="1"/>
  <c r="A12" i="1"/>
  <c r="A13" i="1"/>
  <c r="A14" i="1"/>
  <c r="A15" i="1"/>
  <c r="A16" i="1"/>
  <c r="A17" i="1"/>
  <c r="A18" i="1"/>
  <c r="A9" i="1"/>
  <c r="B4" i="1"/>
  <c r="G27" i="6"/>
  <c r="B24" i="1"/>
  <c r="B22" i="6"/>
  <c r="B9" i="1" s="1"/>
  <c r="G12" i="6"/>
  <c r="G23" i="6" s="1"/>
  <c r="G13" i="6"/>
  <c r="G14" i="6"/>
  <c r="G15" i="6"/>
  <c r="G16" i="6"/>
  <c r="G17" i="6"/>
  <c r="G18" i="6"/>
  <c r="G19" i="6"/>
  <c r="G20" i="6"/>
  <c r="G21" i="6"/>
  <c r="H14" i="4"/>
  <c r="B23" i="6" l="1"/>
  <c r="B27" i="6"/>
  <c r="H19" i="1"/>
  <c r="K18" i="1"/>
  <c r="H18" i="1" s="1"/>
  <c r="H17" i="1"/>
  <c r="K16" i="1"/>
  <c r="K12" i="1"/>
  <c r="H13" i="1"/>
  <c r="K12" i="4"/>
  <c r="H12" i="4" s="1"/>
  <c r="H12" i="1"/>
  <c r="K11" i="1"/>
  <c r="H11" i="1" s="1"/>
  <c r="K11" i="4"/>
  <c r="H11" i="4" s="1"/>
  <c r="H10" i="1"/>
  <c r="H10" i="4"/>
  <c r="H16" i="1"/>
  <c r="H15" i="1"/>
  <c r="G25" i="6"/>
  <c r="B10" i="1"/>
  <c r="D9" i="1"/>
  <c r="B9" i="4"/>
  <c r="G9" i="1" l="1"/>
  <c r="M9" i="1"/>
  <c r="J9" i="1"/>
  <c r="D10" i="1"/>
  <c r="B11" i="1"/>
  <c r="D9" i="4"/>
  <c r="B10" i="4"/>
  <c r="D11" i="1" l="1"/>
  <c r="B12" i="1"/>
  <c r="M10" i="1"/>
  <c r="J10" i="1"/>
  <c r="G10" i="1"/>
  <c r="J9" i="4"/>
  <c r="M9" i="4"/>
  <c r="G9" i="4"/>
  <c r="B11" i="4"/>
  <c r="D10" i="4"/>
  <c r="J10" i="4" l="1"/>
  <c r="M10" i="4"/>
  <c r="G10" i="4"/>
  <c r="B12" i="4"/>
  <c r="D11" i="4"/>
  <c r="D12" i="1"/>
  <c r="B13" i="1"/>
  <c r="M11" i="1"/>
  <c r="J11" i="1"/>
  <c r="G11" i="1"/>
  <c r="M11" i="4" l="1"/>
  <c r="G11" i="4"/>
  <c r="J11" i="4"/>
  <c r="B13" i="4"/>
  <c r="D12" i="4"/>
  <c r="M12" i="1"/>
  <c r="J12" i="1"/>
  <c r="G12" i="1"/>
  <c r="D13" i="1"/>
  <c r="B14" i="1"/>
  <c r="J13" i="1" l="1"/>
  <c r="G13" i="1"/>
  <c r="M13" i="1"/>
  <c r="J12" i="4"/>
  <c r="M12" i="4"/>
  <c r="G12" i="4"/>
  <c r="B14" i="4"/>
  <c r="D13" i="4"/>
  <c r="B15" i="1"/>
  <c r="D14" i="1"/>
  <c r="M13" i="4" l="1"/>
  <c r="G13" i="4"/>
  <c r="J13" i="4"/>
  <c r="B15" i="4"/>
  <c r="D14" i="4"/>
  <c r="G14" i="1"/>
  <c r="J14" i="1"/>
  <c r="M14" i="1"/>
  <c r="D15" i="1"/>
  <c r="B16" i="1"/>
  <c r="J14" i="4" l="1"/>
  <c r="M14" i="4"/>
  <c r="G14" i="4"/>
  <c r="D15" i="4"/>
  <c r="B16" i="4"/>
  <c r="G15" i="1"/>
  <c r="M15" i="1"/>
  <c r="J15" i="1"/>
  <c r="D16" i="1"/>
  <c r="B17" i="1"/>
  <c r="M15" i="4" l="1"/>
  <c r="J15" i="4"/>
  <c r="G15" i="4"/>
  <c r="D17" i="1"/>
  <c r="B18" i="1"/>
  <c r="M16" i="1"/>
  <c r="J16" i="1"/>
  <c r="G16" i="1"/>
  <c r="B17" i="4"/>
  <c r="D16" i="4"/>
  <c r="D18" i="1" l="1"/>
  <c r="B19" i="1"/>
  <c r="M17" i="1"/>
  <c r="J17" i="1"/>
  <c r="G17" i="1"/>
  <c r="B18" i="4"/>
  <c r="D17" i="4"/>
  <c r="J16" i="4"/>
  <c r="M16" i="4"/>
  <c r="G16" i="4"/>
  <c r="D19" i="1" l="1"/>
  <c r="B21" i="1"/>
  <c r="D18" i="4"/>
  <c r="B21" i="4"/>
  <c r="M17" i="4"/>
  <c r="G17" i="4"/>
  <c r="J17" i="4"/>
  <c r="M18" i="1"/>
  <c r="J18" i="1"/>
  <c r="G18" i="1"/>
  <c r="J18" i="4" l="1"/>
  <c r="J21" i="4" s="1"/>
  <c r="M18" i="4"/>
  <c r="M21" i="4" s="1"/>
  <c r="G18" i="4"/>
  <c r="G21" i="4" s="1"/>
  <c r="D21" i="4"/>
  <c r="M19" i="1"/>
  <c r="M21" i="1" s="1"/>
  <c r="J19" i="1"/>
  <c r="J21" i="1" s="1"/>
  <c r="G19" i="1"/>
  <c r="G21" i="1" s="1"/>
  <c r="D21" i="1"/>
  <c r="M24" i="1" l="1"/>
  <c r="M25" i="1"/>
  <c r="M23" i="1"/>
  <c r="G24" i="4"/>
  <c r="G25" i="4"/>
  <c r="G23" i="4"/>
  <c r="M23" i="4"/>
  <c r="M25" i="4"/>
  <c r="M24" i="4"/>
  <c r="J25" i="1"/>
  <c r="J24" i="1"/>
  <c r="J23" i="1"/>
  <c r="G25" i="1"/>
  <c r="G23" i="1"/>
  <c r="G24" i="1"/>
  <c r="J23" i="4"/>
  <c r="J25" i="4"/>
  <c r="J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Hendricks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Lukas Hendricks:
</t>
        </r>
        <r>
          <rPr>
            <sz val="9"/>
            <color indexed="81"/>
            <rFont val="Segoe UI"/>
            <charset val="1"/>
          </rPr>
          <t xml:space="preserve">
Kosten aller aufbewahrungspflichtigen Jahrgänge zusammen für ein Jahr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 xml:space="preserve">Lukas Hendricks:
</t>
        </r>
        <r>
          <rPr>
            <sz val="9"/>
            <color indexed="81"/>
            <rFont val="Segoe UI"/>
            <charset val="1"/>
          </rPr>
          <t xml:space="preserve">
inkl. Raumbedarf z. B. für einen anteiligen PC-Arbeitsplatz, bei größeren Betrieben für einen (anteiligen) Server oder für Lagerungszwecke für die digitale SPeicherung
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Lukas Hendricks:</t>
        </r>
        <r>
          <rPr>
            <sz val="9"/>
            <color indexed="81"/>
            <rFont val="Segoe UI"/>
            <charset val="1"/>
          </rPr>
          <t xml:space="preserve">
zB. Instandhaltung, Anteilige Finanzierungskosten für den Server, den PC oder die Archivräume (BFH-Urteil vom 11. Oktober 2012, BStBl II 2013 S. 676).
•  Der Zinsanteil aus Leasingraten (z. B. für die o. g. technischen Geräte oder für Archivräume), wenn der Leasingnehmer nicht wirtschaftlicher Eigentümer des Leasinggegenstandes ist (Folge aus dem BFH-Urteil vom 11. Oktober 2012, a. a. O).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N.N.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</rPr>
          <t>nur soweit Aufbewahrung gesetzlich verpflichtend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N.N.</author>
  </authors>
  <commentList>
    <comment ref="B8" authorId="0" shapeId="0" xr:uid="{00000000-0006-0000-0200-000001000000}">
      <text>
        <r>
          <rPr>
            <b/>
            <sz val="8"/>
            <color indexed="81"/>
            <rFont val="Tahoma"/>
          </rPr>
          <t>nur soweit Aufbewahrung gesetzlich verpflichtend</t>
        </r>
      </text>
    </comment>
  </commentList>
</comments>
</file>

<file path=xl/sharedStrings.xml><?xml version="1.0" encoding="utf-8"?>
<sst xmlns="http://schemas.openxmlformats.org/spreadsheetml/2006/main" count="95" uniqueCount="61">
  <si>
    <t>Rückstellung zur Aufbewahrung von Geschäftsunterlagen</t>
  </si>
  <si>
    <t>Bewertung gem. § 6 Abs. 1 Nr. 3a EStG</t>
  </si>
  <si>
    <t>Stichtag: 31.12.2023</t>
  </si>
  <si>
    <t>Methode 1:</t>
  </si>
  <si>
    <t>Methode 2:</t>
  </si>
  <si>
    <t>Aufbewahrungskosten 2023 gesamt:</t>
  </si>
  <si>
    <t>Aufbewahrungskosten für Geschäftsunterlagen</t>
  </si>
  <si>
    <t>(pro Jahrgang, Papierunterlagen und elektronisch)</t>
  </si>
  <si>
    <t>Kostenart:</t>
  </si>
  <si>
    <t>Unterlagen-Jahrgang:</t>
  </si>
  <si>
    <t>Kosten, gesamt:</t>
  </si>
  <si>
    <t>Faktor:</t>
  </si>
  <si>
    <t>Raumkosten (AfA / Miete)</t>
  </si>
  <si>
    <t>Strom</t>
  </si>
  <si>
    <t>Heizung</t>
  </si>
  <si>
    <t>Reinigung</t>
  </si>
  <si>
    <t>Grundsteuer</t>
  </si>
  <si>
    <t>Ausstattung (zB. Regale)</t>
  </si>
  <si>
    <t>Gebäudeversicherung, anteilig</t>
  </si>
  <si>
    <t>Personalkosten</t>
  </si>
  <si>
    <t>elektronische Aufbewahrung</t>
  </si>
  <si>
    <t>sonstiges</t>
  </si>
  <si>
    <t>Summe</t>
  </si>
  <si>
    <t>* 5,5</t>
  </si>
  <si>
    <t>Digitalisierungskosten Unterlagen 2023, einmalig</t>
  </si>
  <si>
    <t>./. 20% Abschlag</t>
  </si>
  <si>
    <t>Rückstellung Steuerbilanz Methode 1</t>
  </si>
  <si>
    <t>Rückstellung Steuerbilanz Methode 2</t>
  </si>
  <si>
    <t>keine Abzinsung, da Beginn der Sachleistungsverpflichtung bereits erfolgt</t>
  </si>
  <si>
    <t>Bewertung gem. § 253 Abs. 1 und 2 HGB idF. des Bilanzrechtmodernisierungsgesetzes (BilMoG)</t>
  </si>
  <si>
    <t xml:space="preserve">Stichtag: </t>
  </si>
  <si>
    <t>Abzinsung</t>
  </si>
  <si>
    <t>vorschüssig 01.01.</t>
  </si>
  <si>
    <t>mittelschüssig 30.06</t>
  </si>
  <si>
    <t>nachschüssig, 31.12.</t>
  </si>
  <si>
    <t>Jahr</t>
  </si>
  <si>
    <t>Aufbewahrungskosten pro Jahr gesamt</t>
  </si>
  <si>
    <t>Faktor</t>
  </si>
  <si>
    <t>Basis</t>
  </si>
  <si>
    <t>Zinssatz</t>
  </si>
  <si>
    <t>Laufzeit</t>
  </si>
  <si>
    <t>Wert</t>
  </si>
  <si>
    <t>Dynamik Kosten in %:</t>
  </si>
  <si>
    <t>gerundet:</t>
  </si>
  <si>
    <t>1,- €</t>
  </si>
  <si>
    <t>100,- €</t>
  </si>
  <si>
    <t>1.000,- €</t>
  </si>
  <si>
    <t xml:space="preserve">Zinssätze HGB </t>
  </si>
  <si>
    <t>Jahre</t>
  </si>
  <si>
    <t>laut Bundesbank</t>
  </si>
  <si>
    <t xml:space="preserve">Quelle: https://www.bundesbank.de/de/statistiken/geld-und-kapitalmaerkte/zinssaetze-und-renditen/abzinsungszinssaetze-gemaess-253-abs-2-hgb-7-jahresdurchschnitt-650664 </t>
  </si>
  <si>
    <t>Stichtag:</t>
  </si>
  <si>
    <t xml:space="preserve">Der Inhalt der vorliegenden Datei ist nach bestem Wissen und Kenntnisstand  sorgfältig bearbeitet und erstellt worden. </t>
  </si>
  <si>
    <t xml:space="preserve">Wegen der vielen Neuerungen und der Dynamik des Rechtsgebiets, wegen der Vielzahl letztinstanzlich nicht entschiedener offener </t>
  </si>
  <si>
    <t xml:space="preserve">Rechts-, Anwendungs- und Auslegungsfragen und wegen des Fehlens beziehungsweise der Unvollständigkeit bundeseinheitlicher Verwaltungsanweisungen </t>
  </si>
  <si>
    <t>kann von dem Verfasser der Datei  jedoch keinerlei Haftung übernommen werden.</t>
  </si>
  <si>
    <t>Es wird auf IDW RH HFA 1.009 id. aktualisierten Fassung 2010 verwiesen.</t>
  </si>
  <si>
    <t xml:space="preserve">Dieses Informationsangebot stellt keine Rechts- oder Steuerberatung im Einzelfall dar. </t>
  </si>
  <si>
    <t>Es kann eine Beratung im Einzelfall durch einen Steuerberater oder Rechtsanwalt nicht ersetzen, stellt aber keine Aufforderung zur Rechts- oder Steuerberatung dar.</t>
  </si>
  <si>
    <t>Die ermittelten Ergebnisse können gegenüber der exakten finanzmathematischen Ermittlung Rundungsdifferenzen aufweisen.</t>
  </si>
  <si>
    <r>
      <t xml:space="preserve">Alle Rechte vorbehalten, Nachdruck, Weiterleitung  und Vervielfältigung - auch auszugsweise und/oder elektronisch -  nur mit Genehmigung  des Verfassers. </t>
    </r>
    <r>
      <rPr>
        <b/>
        <sz val="10"/>
        <color indexed="62"/>
        <rFont val="Symbol"/>
        <family val="1"/>
        <charset val="2"/>
      </rPr>
      <t>ã</t>
    </r>
    <r>
      <rPr>
        <b/>
        <sz val="10"/>
        <color indexed="62"/>
        <rFont val="Sparkasse Rg"/>
      </rPr>
      <t xml:space="preserve"> Lukas Hendricks, Bonn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</si>
</sst>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</font>
    <font>
      <sz val="10"/>
      <name val="Arial"/>
      <family val="2"/>
    </font>
    <font>
      <b/>
      <sz val="10"/>
      <color indexed="62"/>
      <name val="Sparkasse Rg"/>
    </font>
    <font>
      <b/>
      <sz val="10"/>
      <color indexed="62"/>
      <name val="Symbol"/>
      <family val="1"/>
      <charset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right"/>
    </xf>
    <xf numFmtId="4" fontId="2" fillId="0" borderId="0" xfId="0" applyNumberFormat="1" applyFont="1"/>
    <xf numFmtId="0" fontId="2" fillId="0" borderId="0" xfId="0" applyFont="1"/>
    <xf numFmtId="4" fontId="2" fillId="2" borderId="1" xfId="0" applyNumberFormat="1" applyFont="1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4" fontId="2" fillId="3" borderId="1" xfId="0" applyNumberFormat="1" applyFont="1" applyFill="1" applyBorder="1"/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4" fontId="2" fillId="4" borderId="1" xfId="0" applyNumberFormat="1" applyFont="1" applyFill="1" applyBorder="1"/>
    <xf numFmtId="4" fontId="0" fillId="4" borderId="2" xfId="0" applyNumberFormat="1" applyFill="1" applyBorder="1"/>
    <xf numFmtId="4" fontId="0" fillId="4" borderId="3" xfId="0" applyNumberFormat="1" applyFill="1" applyBorder="1"/>
    <xf numFmtId="4" fontId="0" fillId="4" borderId="4" xfId="0" applyNumberFormat="1" applyFill="1" applyBorder="1"/>
    <xf numFmtId="0" fontId="3" fillId="0" borderId="0" xfId="0" applyFont="1"/>
    <xf numFmtId="0" fontId="5" fillId="0" borderId="0" xfId="0" applyFont="1" applyAlignment="1">
      <alignment wrapText="1"/>
    </xf>
    <xf numFmtId="0" fontId="6" fillId="6" borderId="0" xfId="0" applyFont="1" applyFill="1" applyAlignment="1">
      <alignment horizontal="left" readingOrder="1"/>
    </xf>
    <xf numFmtId="0" fontId="0" fillId="6" borderId="0" xfId="0" applyFill="1"/>
    <xf numFmtId="0" fontId="1" fillId="6" borderId="0" xfId="0" applyFont="1" applyFill="1"/>
    <xf numFmtId="0" fontId="5" fillId="0" borderId="0" xfId="0" applyFont="1"/>
    <xf numFmtId="0" fontId="0" fillId="0" borderId="5" xfId="0" applyBorder="1" applyProtection="1"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" fontId="0" fillId="5" borderId="2" xfId="0" applyNumberFormat="1" applyFill="1" applyBorder="1" applyProtection="1">
      <protection locked="0"/>
    </xf>
    <xf numFmtId="4" fontId="0" fillId="5" borderId="3" xfId="0" applyNumberFormat="1" applyFill="1" applyBorder="1" applyProtection="1">
      <protection locked="0"/>
    </xf>
    <xf numFmtId="4" fontId="0" fillId="5" borderId="6" xfId="0" applyNumberForma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4" fontId="0" fillId="5" borderId="4" xfId="0" applyNumberFormat="1" applyFill="1" applyBorder="1" applyProtection="1">
      <protection locked="0"/>
    </xf>
    <xf numFmtId="4" fontId="5" fillId="2" borderId="2" xfId="0" applyNumberFormat="1" applyFont="1" applyFill="1" applyBorder="1"/>
    <xf numFmtId="4" fontId="5" fillId="2" borderId="1" xfId="0" applyNumberFormat="1" applyFont="1" applyFill="1" applyBorder="1"/>
    <xf numFmtId="4" fontId="5" fillId="0" borderId="0" xfId="0" applyNumberFormat="1" applyFont="1"/>
    <xf numFmtId="14" fontId="2" fillId="5" borderId="1" xfId="0" applyNumberFormat="1" applyFont="1" applyFill="1" applyBorder="1" applyProtection="1">
      <protection locked="0"/>
    </xf>
    <xf numFmtId="4" fontId="2" fillId="8" borderId="1" xfId="0" applyNumberFormat="1" applyFont="1" applyFill="1" applyBorder="1" applyProtection="1">
      <protection locked="0"/>
    </xf>
    <xf numFmtId="4" fontId="5" fillId="8" borderId="7" xfId="0" applyNumberFormat="1" applyFont="1" applyFill="1" applyBorder="1" applyProtection="1">
      <protection locked="0"/>
    </xf>
    <xf numFmtId="4" fontId="5" fillId="8" borderId="8" xfId="0" applyNumberFormat="1" applyFont="1" applyFill="1" applyBorder="1" applyProtection="1">
      <protection locked="0"/>
    </xf>
    <xf numFmtId="0" fontId="10" fillId="0" borderId="0" xfId="0" applyFont="1" applyAlignment="1">
      <alignment horizontal="right"/>
    </xf>
    <xf numFmtId="14" fontId="0" fillId="8" borderId="0" xfId="0" applyNumberFormat="1" applyFill="1"/>
    <xf numFmtId="10" fontId="2" fillId="5" borderId="1" xfId="0" applyNumberFormat="1" applyFont="1" applyFill="1" applyBorder="1" applyProtection="1">
      <protection locked="0"/>
    </xf>
    <xf numFmtId="10" fontId="5" fillId="8" borderId="12" xfId="0" applyNumberFormat="1" applyFont="1" applyFill="1" applyBorder="1" applyProtection="1">
      <protection locked="0"/>
    </xf>
    <xf numFmtId="0" fontId="0" fillId="0" borderId="12" xfId="0" applyBorder="1"/>
    <xf numFmtId="0" fontId="5" fillId="0" borderId="12" xfId="0" applyFont="1" applyBorder="1"/>
    <xf numFmtId="14" fontId="10" fillId="0" borderId="12" xfId="0" applyNumberFormat="1" applyFont="1" applyBorder="1"/>
    <xf numFmtId="0" fontId="11" fillId="9" borderId="12" xfId="0" applyFont="1" applyFill="1" applyBorder="1" applyAlignment="1">
      <alignment horizontal="right"/>
    </xf>
    <xf numFmtId="0" fontId="12" fillId="0" borderId="0" xfId="1"/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www.hendricks-consulting.de/index2.php" TargetMode="External"/><Relationship Id="rId1" Type="http://schemas.openxmlformats.org/officeDocument/2006/relationships/hyperlink" Target="http://www.hendricks-consulting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85725</xdr:rowOff>
    </xdr:from>
    <xdr:to>
      <xdr:col>4</xdr:col>
      <xdr:colOff>676275</xdr:colOff>
      <xdr:row>39</xdr:row>
      <xdr:rowOff>116384</xdr:rowOff>
    </xdr:to>
    <xdr:sp macro="" textlink="">
      <xdr:nvSpPr>
        <xdr:cNvPr id="3" name="Textfeld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BC73FD-6CFF-BEB0-A987-7F33FD495A07}"/>
            </a:ext>
          </a:extLst>
        </xdr:cNvPr>
        <xdr:cNvSpPr txBox="1">
          <a:spLocks noChangeArrowheads="1"/>
        </xdr:cNvSpPr>
      </xdr:nvSpPr>
      <xdr:spPr bwMode="auto">
        <a:xfrm>
          <a:off x="9525" y="2352675"/>
          <a:ext cx="3714750" cy="5021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lnSpc>
              <a:spcPct val="15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1pPr>
          <a:lvl2pPr marL="457200" algn="l" rtl="0" eaLnBrk="0" fontAlgn="base" hangingPunct="0">
            <a:lnSpc>
              <a:spcPct val="15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2pPr>
          <a:lvl3pPr marL="914400" algn="l" rtl="0" eaLnBrk="0" fontAlgn="base" hangingPunct="0">
            <a:lnSpc>
              <a:spcPct val="15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3pPr>
          <a:lvl4pPr marL="1371600" algn="l" rtl="0" eaLnBrk="0" fontAlgn="base" hangingPunct="0">
            <a:lnSpc>
              <a:spcPct val="15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4pPr>
          <a:lvl5pPr marL="1828800" algn="l" rtl="0" eaLnBrk="0" fontAlgn="base" hangingPunct="0">
            <a:lnSpc>
              <a:spcPct val="15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defRPr>
          </a:lvl9pPr>
        </a:lstStyle>
        <a:p>
          <a:br>
            <a:rPr lang="de-DE"/>
          </a:br>
          <a:r>
            <a:rPr lang="de-DE" sz="16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rPr>
            <a:t>Lukas Hendricks</a:t>
          </a:r>
        </a:p>
        <a:p>
          <a:r>
            <a:rPr lang="de-DE" sz="16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rPr>
            <a:t>Steuerberater</a:t>
          </a:r>
        </a:p>
        <a:p>
          <a:r>
            <a:rPr lang="de-DE" sz="16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rPr>
            <a:t>Dreizehnmorgenweg 47</a:t>
          </a:r>
          <a:br>
            <a:rPr lang="de-DE" sz="16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rPr>
          </a:br>
          <a:r>
            <a:rPr lang="de-DE" sz="1600" kern="1200">
              <a:solidFill>
                <a:schemeClr val="tx1"/>
              </a:solidFill>
              <a:latin typeface="Sparkasse Rg" pitchFamily="34" charset="0"/>
              <a:ea typeface="+mn-ea"/>
              <a:cs typeface="+mn-cs"/>
            </a:rPr>
            <a:t>53175 Bonn</a:t>
          </a:r>
        </a:p>
        <a:p>
          <a:r>
            <a:rPr lang="de-DE" sz="1600"/>
            <a:t>Telefon: 0228/4331564</a:t>
          </a:r>
          <a:br>
            <a:rPr lang="de-DE" sz="1600"/>
          </a:br>
          <a:r>
            <a:rPr lang="de-DE" sz="1600"/>
            <a:t>Mobil:    0151/14822025</a:t>
          </a:r>
          <a:br>
            <a:rPr lang="de-DE" sz="1600"/>
          </a:br>
          <a:r>
            <a:rPr lang="de-DE" sz="1600" u="sng">
              <a:solidFill>
                <a:srgbClr val="0070C0"/>
              </a:solidFill>
            </a:rPr>
            <a:t>info@hendricks-consulting.de</a:t>
          </a:r>
          <a:br>
            <a:rPr lang="de-DE" sz="1600"/>
          </a:br>
          <a:r>
            <a:rPr lang="de-DE" sz="1600" u="sng">
              <a:solidFill>
                <a:srgbClr val="0070C0"/>
              </a:solidFill>
            </a:rPr>
            <a:t>www.hendricks-consulting.de</a:t>
          </a:r>
        </a:p>
        <a:p>
          <a:endParaRPr lang="de-DE" sz="1600"/>
        </a:p>
        <a:p>
          <a:endParaRPr lang="de-DE"/>
        </a:p>
      </xdr:txBody>
    </xdr:sp>
    <xdr:clientData/>
  </xdr:twoCellAnchor>
  <xdr:twoCellAnchor editAs="oneCell">
    <xdr:from>
      <xdr:col>0</xdr:col>
      <xdr:colOff>142875</xdr:colOff>
      <xdr:row>12</xdr:row>
      <xdr:rowOff>36314</xdr:rowOff>
    </xdr:from>
    <xdr:to>
      <xdr:col>4</xdr:col>
      <xdr:colOff>400050</xdr:colOff>
      <xdr:row>15</xdr:row>
      <xdr:rowOff>180975</xdr:rowOff>
    </xdr:to>
    <xdr:pic>
      <xdr:nvPicPr>
        <xdr:cNvPr id="2" name="Grafik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9A55FD-3718-2871-0CAE-7EAF507FB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31789"/>
          <a:ext cx="3305175" cy="185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ndesbank.de/de/statistiken/geld-und-kapitalmaerkte/zinssaetze-und-renditen/abzinsungszinssaetze-gemaess-253-abs-2-hgb-7-jahresdurchschnitt-650664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115" zoomScaleNormal="115" workbookViewId="0">
      <selection activeCell="E31" sqref="E31"/>
    </sheetView>
  </sheetViews>
  <sheetFormatPr baseColWidth="10" defaultColWidth="11.42578125" defaultRowHeight="12.75"/>
  <cols>
    <col min="1" max="1" width="41.28515625" customWidth="1"/>
    <col min="2" max="2" width="12" customWidth="1"/>
    <col min="3" max="3" width="4.28515625" customWidth="1"/>
    <col min="4" max="4" width="21.42578125" customWidth="1"/>
    <col min="5" max="5" width="11.28515625" customWidth="1"/>
    <col min="6" max="6" width="8.140625" customWidth="1"/>
  </cols>
  <sheetData>
    <row r="1" spans="1:7" ht="18">
      <c r="A1" s="19" t="s">
        <v>0</v>
      </c>
    </row>
    <row r="2" spans="1:7">
      <c r="A2" s="6"/>
    </row>
    <row r="3" spans="1:7">
      <c r="A3" t="s">
        <v>1</v>
      </c>
    </row>
    <row r="4" spans="1:7">
      <c r="A4" t="s">
        <v>2</v>
      </c>
    </row>
    <row r="6" spans="1:7">
      <c r="A6" s="6" t="s">
        <v>3</v>
      </c>
      <c r="D6" s="6" t="s">
        <v>4</v>
      </c>
    </row>
    <row r="8" spans="1:7">
      <c r="A8" s="6" t="s">
        <v>5</v>
      </c>
      <c r="B8" s="6"/>
      <c r="C8" s="6"/>
      <c r="D8" s="6" t="s">
        <v>6</v>
      </c>
      <c r="E8" s="6"/>
      <c r="F8" s="6"/>
      <c r="G8" s="6"/>
    </row>
    <row r="9" spans="1:7">
      <c r="A9" s="6"/>
      <c r="B9" s="6"/>
      <c r="C9" s="6"/>
      <c r="D9" s="6" t="s">
        <v>7</v>
      </c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 ht="26.25" thickBot="1">
      <c r="A11" s="6" t="s">
        <v>8</v>
      </c>
      <c r="B11" s="6"/>
      <c r="C11" s="6"/>
      <c r="D11" s="26" t="s">
        <v>9</v>
      </c>
      <c r="E11" s="27" t="s">
        <v>10</v>
      </c>
      <c r="F11" s="26" t="s">
        <v>11</v>
      </c>
      <c r="G11" s="6"/>
    </row>
    <row r="12" spans="1:7" ht="13.5" thickBot="1">
      <c r="A12" t="s">
        <v>12</v>
      </c>
      <c r="B12" s="28">
        <v>1200</v>
      </c>
      <c r="D12" s="6">
        <v>2023</v>
      </c>
      <c r="E12" s="28">
        <v>300</v>
      </c>
      <c r="F12" s="25">
        <v>10</v>
      </c>
      <c r="G12" s="33">
        <f t="shared" ref="G12:G21" si="0">E12*F12</f>
        <v>3000</v>
      </c>
    </row>
    <row r="13" spans="1:7" ht="13.5" thickBot="1">
      <c r="A13" t="s">
        <v>13</v>
      </c>
      <c r="B13" s="29">
        <v>50</v>
      </c>
      <c r="D13" s="6">
        <v>2024</v>
      </c>
      <c r="E13" s="29">
        <v>300</v>
      </c>
      <c r="F13" s="25">
        <v>9</v>
      </c>
      <c r="G13" s="33">
        <f t="shared" si="0"/>
        <v>2700</v>
      </c>
    </row>
    <row r="14" spans="1:7" ht="13.5" thickBot="1">
      <c r="A14" t="s">
        <v>14</v>
      </c>
      <c r="B14" s="29">
        <v>50</v>
      </c>
      <c r="D14" s="6">
        <v>2025</v>
      </c>
      <c r="E14" s="29">
        <v>250</v>
      </c>
      <c r="F14" s="25">
        <v>8</v>
      </c>
      <c r="G14" s="33">
        <f t="shared" si="0"/>
        <v>2000</v>
      </c>
    </row>
    <row r="15" spans="1:7" ht="13.5" thickBot="1">
      <c r="A15" t="s">
        <v>15</v>
      </c>
      <c r="B15" s="29">
        <v>50</v>
      </c>
      <c r="D15" s="6">
        <v>2026</v>
      </c>
      <c r="E15" s="29">
        <v>250</v>
      </c>
      <c r="F15" s="25">
        <v>7</v>
      </c>
      <c r="G15" s="33">
        <f t="shared" si="0"/>
        <v>1750</v>
      </c>
    </row>
    <row r="16" spans="1:7" ht="13.5" thickBot="1">
      <c r="A16" t="s">
        <v>16</v>
      </c>
      <c r="B16" s="29">
        <v>60</v>
      </c>
      <c r="D16" s="6">
        <v>2027</v>
      </c>
      <c r="E16" s="29">
        <v>250</v>
      </c>
      <c r="F16" s="25">
        <v>6</v>
      </c>
      <c r="G16" s="33">
        <f t="shared" si="0"/>
        <v>1500</v>
      </c>
    </row>
    <row r="17" spans="1:7" ht="13.5" thickBot="1">
      <c r="A17" t="s">
        <v>17</v>
      </c>
      <c r="B17" s="29">
        <v>120</v>
      </c>
      <c r="D17" s="6">
        <v>2028</v>
      </c>
      <c r="E17" s="29">
        <v>200</v>
      </c>
      <c r="F17" s="25">
        <v>5</v>
      </c>
      <c r="G17" s="33">
        <f t="shared" si="0"/>
        <v>1000</v>
      </c>
    </row>
    <row r="18" spans="1:7" ht="13.5" thickBot="1">
      <c r="A18" t="s">
        <v>18</v>
      </c>
      <c r="B18" s="29">
        <v>35</v>
      </c>
      <c r="D18" s="6">
        <v>2029</v>
      </c>
      <c r="E18" s="29">
        <v>200</v>
      </c>
      <c r="F18" s="25">
        <v>4</v>
      </c>
      <c r="G18" s="33">
        <f t="shared" si="0"/>
        <v>800</v>
      </c>
    </row>
    <row r="19" spans="1:7" ht="13.5" thickBot="1">
      <c r="A19" t="s">
        <v>19</v>
      </c>
      <c r="B19" s="29">
        <v>250</v>
      </c>
      <c r="D19" s="6">
        <v>2030</v>
      </c>
      <c r="E19" s="29">
        <v>200</v>
      </c>
      <c r="F19" s="25">
        <v>3</v>
      </c>
      <c r="G19" s="33">
        <f t="shared" si="0"/>
        <v>600</v>
      </c>
    </row>
    <row r="20" spans="1:7" ht="13.5" thickBot="1">
      <c r="A20" t="s">
        <v>20</v>
      </c>
      <c r="B20" s="29">
        <v>350</v>
      </c>
      <c r="D20" s="6">
        <v>2031</v>
      </c>
      <c r="E20" s="29">
        <v>180</v>
      </c>
      <c r="F20" s="25">
        <v>2</v>
      </c>
      <c r="G20" s="33">
        <f t="shared" si="0"/>
        <v>360</v>
      </c>
    </row>
    <row r="21" spans="1:7" ht="13.5" thickBot="1">
      <c r="A21" t="s">
        <v>21</v>
      </c>
      <c r="B21" s="30">
        <v>80</v>
      </c>
      <c r="D21" s="6">
        <v>2032</v>
      </c>
      <c r="E21" s="32">
        <v>180</v>
      </c>
      <c r="F21" s="25">
        <v>1</v>
      </c>
      <c r="G21" s="34">
        <f t="shared" si="0"/>
        <v>180</v>
      </c>
    </row>
    <row r="22" spans="1:7" ht="13.5" thickBot="1">
      <c r="A22" s="6" t="s">
        <v>22</v>
      </c>
      <c r="B22" s="7">
        <f>SUM(B12:B21)</f>
        <v>2245</v>
      </c>
      <c r="G22" s="35"/>
    </row>
    <row r="23" spans="1:7" ht="13.5" thickBot="1">
      <c r="A23" s="26" t="s">
        <v>23</v>
      </c>
      <c r="B23" s="7">
        <f>B22*5.5</f>
        <v>12347.5</v>
      </c>
      <c r="E23" s="6" t="s">
        <v>22</v>
      </c>
      <c r="G23" s="34">
        <f>SUM(G12:G21)</f>
        <v>13890</v>
      </c>
    </row>
    <row r="24" spans="1:7" ht="13.5" thickBot="1">
      <c r="B24" s="3"/>
      <c r="E24" s="6"/>
      <c r="G24" s="35"/>
    </row>
    <row r="25" spans="1:7" ht="13.5" thickBot="1">
      <c r="A25" t="s">
        <v>24</v>
      </c>
      <c r="B25" s="31">
        <v>1500</v>
      </c>
      <c r="E25" s="6" t="s">
        <v>25</v>
      </c>
      <c r="G25" s="34">
        <f>-0.2*G23</f>
        <v>-2778</v>
      </c>
    </row>
    <row r="26" spans="1:7" ht="13.5" thickBot="1">
      <c r="B26" s="3"/>
      <c r="G26" s="3"/>
    </row>
    <row r="27" spans="1:7" ht="13.5" thickBot="1">
      <c r="A27" s="6" t="s">
        <v>26</v>
      </c>
      <c r="B27" s="7">
        <f>B22*5.5+B25</f>
        <v>13847.5</v>
      </c>
      <c r="D27" s="6" t="s">
        <v>27</v>
      </c>
      <c r="G27" s="7">
        <f>G23*0.8+B25</f>
        <v>12612</v>
      </c>
    </row>
    <row r="29" spans="1:7">
      <c r="A29" s="24" t="s">
        <v>28</v>
      </c>
    </row>
  </sheetData>
  <sheetProtection algorithmName="SHA-512" hashValue="RK456XXYETFZZic+sXXorJOo/ILg0aETRUSCC5sFOeRi5hWTkxFXcsOL3SDxZBTXGTObJjX5h8ynQ+njUjuvsg==" saltValue="mwO2ryhigq53NTVs0H4x6Q==" spinCount="100000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activeCell="A10" sqref="A10"/>
    </sheetView>
  </sheetViews>
  <sheetFormatPr baseColWidth="10" defaultColWidth="11.42578125" defaultRowHeight="12.75"/>
  <cols>
    <col min="1" max="1" width="10" customWidth="1"/>
    <col min="2" max="2" width="19.42578125" customWidth="1"/>
    <col min="3" max="3" width="6.42578125" customWidth="1"/>
    <col min="5" max="5" width="8.42578125" customWidth="1"/>
    <col min="6" max="6" width="8" customWidth="1"/>
    <col min="7" max="7" width="12.28515625" customWidth="1"/>
    <col min="8" max="8" width="8.5703125" customWidth="1"/>
    <col min="9" max="9" width="8" customWidth="1"/>
    <col min="10" max="10" width="10.5703125" customWidth="1"/>
    <col min="11" max="11" width="8.42578125" customWidth="1"/>
    <col min="12" max="12" width="7.42578125" customWidth="1"/>
    <col min="13" max="13" width="9.28515625" customWidth="1"/>
  </cols>
  <sheetData>
    <row r="1" spans="1:13" ht="18">
      <c r="A1" s="19" t="s">
        <v>0</v>
      </c>
    </row>
    <row r="2" spans="1:13">
      <c r="A2" s="6"/>
    </row>
    <row r="3" spans="1:13" ht="13.5" thickBot="1">
      <c r="A3" t="s">
        <v>29</v>
      </c>
    </row>
    <row r="4" spans="1:13" ht="13.5" thickBot="1">
      <c r="A4" t="s">
        <v>30</v>
      </c>
      <c r="B4" s="36">
        <v>45291</v>
      </c>
    </row>
    <row r="5" spans="1:13" ht="13.5" thickBot="1"/>
    <row r="6" spans="1:13" ht="13.5" thickBot="1">
      <c r="E6" s="49" t="s">
        <v>31</v>
      </c>
      <c r="F6" s="50"/>
      <c r="G6" s="50"/>
      <c r="H6" s="50"/>
      <c r="I6" s="50"/>
      <c r="J6" s="50"/>
      <c r="K6" s="50"/>
      <c r="L6" s="50"/>
      <c r="M6" s="51"/>
    </row>
    <row r="7" spans="1:13" ht="13.5" thickBot="1">
      <c r="E7" s="52" t="s">
        <v>32</v>
      </c>
      <c r="F7" s="53"/>
      <c r="G7" s="54"/>
      <c r="H7" s="55" t="s">
        <v>33</v>
      </c>
      <c r="I7" s="56"/>
      <c r="J7" s="57"/>
      <c r="K7" s="58" t="s">
        <v>34</v>
      </c>
      <c r="L7" s="59"/>
      <c r="M7" s="60"/>
    </row>
    <row r="8" spans="1:13" s="2" customFormat="1" ht="26.25" thickBot="1">
      <c r="A8" s="2" t="s">
        <v>35</v>
      </c>
      <c r="B8" s="20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39</v>
      </c>
      <c r="I8" s="2" t="s">
        <v>40</v>
      </c>
      <c r="J8" s="2" t="s">
        <v>41</v>
      </c>
      <c r="K8" s="2" t="s">
        <v>39</v>
      </c>
      <c r="L8" s="2" t="s">
        <v>40</v>
      </c>
      <c r="M8" s="2" t="s">
        <v>41</v>
      </c>
    </row>
    <row r="9" spans="1:13" ht="13.5" thickBot="1">
      <c r="A9">
        <f>YEAR($B$4)+1</f>
        <v>2024</v>
      </c>
      <c r="B9" s="37">
        <f>StB!B22</f>
        <v>2245</v>
      </c>
      <c r="C9">
        <v>10</v>
      </c>
      <c r="D9" s="3">
        <f>B9/10*C9</f>
        <v>2245</v>
      </c>
      <c r="E9" s="1">
        <v>0</v>
      </c>
      <c r="F9">
        <v>0</v>
      </c>
      <c r="G9" s="3">
        <f>D9</f>
        <v>2245</v>
      </c>
      <c r="H9" s="1">
        <v>0</v>
      </c>
      <c r="I9">
        <v>0.5</v>
      </c>
      <c r="J9" s="3">
        <f>D9</f>
        <v>2245</v>
      </c>
      <c r="K9" s="1">
        <v>0</v>
      </c>
      <c r="L9">
        <v>1</v>
      </c>
      <c r="M9" s="3">
        <f>D9</f>
        <v>2245</v>
      </c>
    </row>
    <row r="10" spans="1:13">
      <c r="A10">
        <f>YEAR($B$4)+2</f>
        <v>2025</v>
      </c>
      <c r="B10" s="38">
        <f>B9*(1+$B$24)</f>
        <v>2289.9</v>
      </c>
      <c r="C10">
        <v>9</v>
      </c>
      <c r="D10" s="3">
        <f t="shared" ref="D10:D18" si="0">B10/10*C10</f>
        <v>2060.91</v>
      </c>
      <c r="E10" s="43">
        <f>D31/100</f>
        <v>1.03E-2</v>
      </c>
      <c r="F10">
        <v>1</v>
      </c>
      <c r="G10" s="3">
        <f>D10/(1+E10)^F10</f>
        <v>2039.8990398891417</v>
      </c>
      <c r="H10" s="1">
        <f t="shared" ref="H10:H18" si="1">(E10+K10)/2</f>
        <v>1.03E-2</v>
      </c>
      <c r="I10">
        <v>1.5</v>
      </c>
      <c r="J10" s="3">
        <f>D10/(1+H10)^I10</f>
        <v>2029.4740243084202</v>
      </c>
      <c r="K10" s="43">
        <f>E11</f>
        <v>1.03E-2</v>
      </c>
      <c r="L10">
        <v>2</v>
      </c>
      <c r="M10" s="3">
        <f>D10/(1+K10)^L10</f>
        <v>2019.1022863398414</v>
      </c>
    </row>
    <row r="11" spans="1:13">
      <c r="A11">
        <f>YEAR($B$4)+3</f>
        <v>2026</v>
      </c>
      <c r="B11" s="38">
        <f t="shared" ref="B11:B18" si="2">B10*(1+$B$24)</f>
        <v>2335.6980000000003</v>
      </c>
      <c r="C11">
        <v>8</v>
      </c>
      <c r="D11" s="3">
        <f t="shared" si="0"/>
        <v>1868.5584000000003</v>
      </c>
      <c r="E11" s="43">
        <v>1.03E-2</v>
      </c>
      <c r="F11">
        <v>2</v>
      </c>
      <c r="G11" s="3">
        <f t="shared" ref="G11:G18" si="3">D11/(1+E11)^F11</f>
        <v>1830.6527396147899</v>
      </c>
      <c r="H11" s="1">
        <f t="shared" si="1"/>
        <v>1.0500000000000001E-2</v>
      </c>
      <c r="I11">
        <v>2.5</v>
      </c>
      <c r="J11" s="3">
        <f t="shared" ref="J11:J18" si="4">D11/(1+H11)^I11</f>
        <v>1820.3960363712499</v>
      </c>
      <c r="K11" s="43">
        <f t="shared" ref="K11:K17" si="5">E12</f>
        <v>1.0700000000000001E-2</v>
      </c>
      <c r="L11">
        <v>3</v>
      </c>
      <c r="M11" s="3">
        <f t="shared" ref="M11:M18" si="6">D11/(1+K11)^L11</f>
        <v>1809.8387341921277</v>
      </c>
    </row>
    <row r="12" spans="1:13">
      <c r="A12">
        <f>YEAR($B$4)+4</f>
        <v>2027</v>
      </c>
      <c r="B12" s="38">
        <f t="shared" si="2"/>
        <v>2382.4119600000004</v>
      </c>
      <c r="C12">
        <v>7</v>
      </c>
      <c r="D12" s="3">
        <f t="shared" si="0"/>
        <v>1667.6883720000003</v>
      </c>
      <c r="E12" s="43">
        <f>E31/100</f>
        <v>1.0700000000000001E-2</v>
      </c>
      <c r="F12">
        <v>3</v>
      </c>
      <c r="G12" s="3">
        <f t="shared" si="3"/>
        <v>1615.281070266474</v>
      </c>
      <c r="H12" s="1">
        <f t="shared" si="1"/>
        <v>1.0950000000000001E-2</v>
      </c>
      <c r="I12">
        <v>3.5</v>
      </c>
      <c r="J12" s="3">
        <f t="shared" si="4"/>
        <v>1605.3178417752777</v>
      </c>
      <c r="K12" s="43">
        <f t="shared" si="5"/>
        <v>1.1200000000000002E-2</v>
      </c>
      <c r="L12">
        <v>4</v>
      </c>
      <c r="M12" s="3">
        <f t="shared" si="6"/>
        <v>1595.0219238489756</v>
      </c>
    </row>
    <row r="13" spans="1:13">
      <c r="A13">
        <f>YEAR($B$4)+5</f>
        <v>2028</v>
      </c>
      <c r="B13" s="38">
        <f t="shared" si="2"/>
        <v>2430.0601992000006</v>
      </c>
      <c r="C13">
        <v>6</v>
      </c>
      <c r="D13" s="3">
        <f t="shared" si="0"/>
        <v>1458.0361195200003</v>
      </c>
      <c r="E13" s="43">
        <f>F31/100</f>
        <v>1.1200000000000002E-2</v>
      </c>
      <c r="F13">
        <v>4</v>
      </c>
      <c r="G13" s="3">
        <f t="shared" si="3"/>
        <v>1394.5048819936758</v>
      </c>
      <c r="H13" s="1">
        <f t="shared" si="1"/>
        <v>1.15E-2</v>
      </c>
      <c r="I13">
        <v>4.5</v>
      </c>
      <c r="J13" s="3">
        <f t="shared" si="4"/>
        <v>1384.910764081422</v>
      </c>
      <c r="K13" s="43">
        <f t="shared" si="5"/>
        <v>1.18E-2</v>
      </c>
      <c r="L13">
        <v>5</v>
      </c>
      <c r="M13" s="3">
        <f t="shared" si="6"/>
        <v>1374.975334255626</v>
      </c>
    </row>
    <row r="14" spans="1:13">
      <c r="A14">
        <f>YEAR($B$4)+6</f>
        <v>2029</v>
      </c>
      <c r="B14" s="38">
        <f t="shared" si="2"/>
        <v>2478.6614031840008</v>
      </c>
      <c r="C14">
        <v>5</v>
      </c>
      <c r="D14" s="3">
        <f t="shared" si="0"/>
        <v>1239.3307015920004</v>
      </c>
      <c r="E14" s="43">
        <f>G31/100</f>
        <v>1.18E-2</v>
      </c>
      <c r="F14">
        <v>5</v>
      </c>
      <c r="G14" s="3">
        <f t="shared" si="3"/>
        <v>1168.7290341172823</v>
      </c>
      <c r="H14" s="1">
        <f t="shared" si="1"/>
        <v>1.2150000000000001E-2</v>
      </c>
      <c r="I14">
        <v>5.5</v>
      </c>
      <c r="J14" s="3">
        <f t="shared" si="4"/>
        <v>1159.6858858348987</v>
      </c>
      <c r="K14" s="43">
        <f t="shared" si="5"/>
        <v>1.2500000000000001E-2</v>
      </c>
      <c r="L14">
        <v>6</v>
      </c>
      <c r="M14" s="3">
        <f t="shared" si="6"/>
        <v>1150.3156202644172</v>
      </c>
    </row>
    <row r="15" spans="1:13">
      <c r="A15">
        <f>YEAR($B$4)+7</f>
        <v>2030</v>
      </c>
      <c r="B15" s="38">
        <f t="shared" si="2"/>
        <v>2528.2346312476807</v>
      </c>
      <c r="C15">
        <v>4</v>
      </c>
      <c r="D15" s="3">
        <f t="shared" si="0"/>
        <v>1011.2938524990723</v>
      </c>
      <c r="E15" s="43">
        <f>H31/100</f>
        <v>1.2500000000000001E-2</v>
      </c>
      <c r="F15">
        <v>6</v>
      </c>
      <c r="G15" s="3">
        <f t="shared" si="3"/>
        <v>938.65754613576451</v>
      </c>
      <c r="H15" s="1">
        <f t="shared" si="1"/>
        <v>1.2800000000000001E-2</v>
      </c>
      <c r="I15">
        <v>6.5</v>
      </c>
      <c r="J15" s="3">
        <f t="shared" si="4"/>
        <v>931.05077267962042</v>
      </c>
      <c r="K15" s="43">
        <f t="shared" si="5"/>
        <v>1.3100000000000001E-2</v>
      </c>
      <c r="L15">
        <v>7</v>
      </c>
      <c r="M15" s="3">
        <f t="shared" si="6"/>
        <v>923.23266042375394</v>
      </c>
    </row>
    <row r="16" spans="1:13">
      <c r="A16">
        <f>YEAR($B$4)+8</f>
        <v>2031</v>
      </c>
      <c r="B16" s="38">
        <f t="shared" si="2"/>
        <v>2578.7993238726344</v>
      </c>
      <c r="C16">
        <v>3</v>
      </c>
      <c r="D16" s="3">
        <f t="shared" si="0"/>
        <v>773.6397971617904</v>
      </c>
      <c r="E16" s="43">
        <f>I31/100</f>
        <v>1.3100000000000001E-2</v>
      </c>
      <c r="F16">
        <v>7</v>
      </c>
      <c r="G16" s="3">
        <f t="shared" si="3"/>
        <v>706.27298522417186</v>
      </c>
      <c r="H16" s="1">
        <f t="shared" si="1"/>
        <v>1.345E-2</v>
      </c>
      <c r="I16">
        <v>7.5</v>
      </c>
      <c r="J16" s="3">
        <f t="shared" si="4"/>
        <v>699.87640079480821</v>
      </c>
      <c r="K16" s="43">
        <f t="shared" si="5"/>
        <v>1.38E-2</v>
      </c>
      <c r="L16">
        <v>8</v>
      </c>
      <c r="M16" s="3">
        <f t="shared" si="6"/>
        <v>693.29889385899185</v>
      </c>
    </row>
    <row r="17" spans="1:14">
      <c r="A17">
        <f>YEAR($B$4)+9</f>
        <v>2032</v>
      </c>
      <c r="B17" s="38">
        <f t="shared" si="2"/>
        <v>2630.3753103500871</v>
      </c>
      <c r="C17">
        <v>2</v>
      </c>
      <c r="D17" s="3">
        <f t="shared" si="0"/>
        <v>526.07506207001745</v>
      </c>
      <c r="E17" s="43">
        <f>J31/100</f>
        <v>1.38E-2</v>
      </c>
      <c r="F17">
        <v>8</v>
      </c>
      <c r="G17" s="3">
        <f t="shared" si="3"/>
        <v>471.44324782411439</v>
      </c>
      <c r="H17" s="1">
        <f t="shared" si="1"/>
        <v>1.4149999999999999E-2</v>
      </c>
      <c r="I17">
        <v>8.5</v>
      </c>
      <c r="J17" s="3">
        <f t="shared" si="4"/>
        <v>466.85182155381852</v>
      </c>
      <c r="K17" s="43">
        <f t="shared" si="5"/>
        <v>1.4499999999999999E-2</v>
      </c>
      <c r="L17">
        <v>9</v>
      </c>
      <c r="M17" s="3">
        <f t="shared" si="6"/>
        <v>462.14605780675004</v>
      </c>
    </row>
    <row r="18" spans="1:14" ht="13.5" thickBot="1">
      <c r="A18">
        <f>YEAR($B$4)+10</f>
        <v>2033</v>
      </c>
      <c r="B18" s="39">
        <f t="shared" si="2"/>
        <v>2682.9828165570889</v>
      </c>
      <c r="C18">
        <v>1</v>
      </c>
      <c r="D18" s="3">
        <f t="shared" si="0"/>
        <v>268.29828165570888</v>
      </c>
      <c r="E18" s="43">
        <f>K31/100</f>
        <v>1.4499999999999999E-2</v>
      </c>
      <c r="F18">
        <v>9</v>
      </c>
      <c r="G18" s="3">
        <f t="shared" si="3"/>
        <v>235.6944894814425</v>
      </c>
      <c r="H18" s="1">
        <f t="shared" si="1"/>
        <v>1.4800000000000001E-2</v>
      </c>
      <c r="I18">
        <v>9.5</v>
      </c>
      <c r="J18" s="3">
        <f t="shared" si="4"/>
        <v>233.34770557260003</v>
      </c>
      <c r="K18" s="43">
        <f>L31/100</f>
        <v>1.5100000000000001E-2</v>
      </c>
      <c r="L18">
        <v>10</v>
      </c>
      <c r="M18" s="3">
        <f t="shared" si="6"/>
        <v>230.95619367447549</v>
      </c>
    </row>
    <row r="19" spans="1:14">
      <c r="B19" s="5"/>
      <c r="D19" s="3"/>
      <c r="E19" s="1"/>
      <c r="G19" s="3"/>
      <c r="H19" s="1"/>
      <c r="J19" s="3"/>
      <c r="K19" s="1"/>
      <c r="M19" s="3"/>
    </row>
    <row r="20" spans="1:14" ht="13.5" thickBot="1">
      <c r="B20" s="3"/>
      <c r="D20" s="3"/>
      <c r="G20" s="3"/>
      <c r="J20" s="3"/>
      <c r="M20" s="3"/>
    </row>
    <row r="21" spans="1:14" ht="13.5" thickBot="1">
      <c r="A21" t="s">
        <v>22</v>
      </c>
      <c r="B21" s="3">
        <f>SUM(B9:B20)</f>
        <v>24582.123644411491</v>
      </c>
      <c r="D21" s="3">
        <f>SUM(D9:D20)</f>
        <v>13118.830586498589</v>
      </c>
      <c r="G21" s="7">
        <f>SUM(G9:G20)</f>
        <v>12646.135034546858</v>
      </c>
      <c r="H21" s="6"/>
      <c r="I21" s="6"/>
      <c r="J21" s="11">
        <f>SUM(J9:J20)</f>
        <v>12575.911252972117</v>
      </c>
      <c r="K21" s="6"/>
      <c r="L21" s="6"/>
      <c r="M21" s="15">
        <f>SUM(M9:M20)</f>
        <v>12503.88770466496</v>
      </c>
    </row>
    <row r="22" spans="1:14" ht="13.5" thickBot="1"/>
    <row r="23" spans="1:14" ht="13.5" thickBot="1">
      <c r="B23" t="s">
        <v>42</v>
      </c>
      <c r="E23" t="s">
        <v>43</v>
      </c>
      <c r="F23" s="4" t="s">
        <v>44</v>
      </c>
      <c r="G23" s="8">
        <f>ROUND(G21,0)</f>
        <v>12646</v>
      </c>
      <c r="H23" s="3"/>
      <c r="I23" s="3"/>
      <c r="J23" s="12">
        <f>ROUND(J21,0)</f>
        <v>12576</v>
      </c>
      <c r="K23" s="3"/>
      <c r="L23" s="3"/>
      <c r="M23" s="16">
        <f>ROUND(M21,0)</f>
        <v>12504</v>
      </c>
    </row>
    <row r="24" spans="1:14" ht="13.5" thickBot="1">
      <c r="B24" s="42">
        <v>0.02</v>
      </c>
      <c r="F24" s="4" t="s">
        <v>45</v>
      </c>
      <c r="G24" s="9">
        <f>ROUND(G21,-2)</f>
        <v>12600</v>
      </c>
      <c r="H24" s="3"/>
      <c r="I24" s="3"/>
      <c r="J24" s="13">
        <f>ROUND(J21,-2)</f>
        <v>12600</v>
      </c>
      <c r="K24" s="3"/>
      <c r="L24" s="3"/>
      <c r="M24" s="17">
        <f>ROUND(M21,-2)</f>
        <v>12500</v>
      </c>
    </row>
    <row r="25" spans="1:14" ht="13.5" thickBot="1">
      <c r="F25" s="4" t="s">
        <v>46</v>
      </c>
      <c r="G25" s="10">
        <f>ROUND(G21,-3)</f>
        <v>13000</v>
      </c>
      <c r="H25" s="3"/>
      <c r="I25" s="3"/>
      <c r="J25" s="14">
        <f>ROUND(J21,-3)</f>
        <v>13000</v>
      </c>
      <c r="K25" s="3"/>
      <c r="L25" s="3"/>
      <c r="M25" s="18">
        <f>ROUND(M21,-3)</f>
        <v>13000</v>
      </c>
    </row>
    <row r="29" spans="1:14">
      <c r="B29" s="44" t="s">
        <v>47</v>
      </c>
      <c r="C29" s="61" t="s">
        <v>48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4">
      <c r="B30" s="45" t="s">
        <v>49</v>
      </c>
      <c r="C30" s="44">
        <v>1</v>
      </c>
      <c r="D30" s="44">
        <v>2</v>
      </c>
      <c r="E30" s="44">
        <v>3</v>
      </c>
      <c r="F30" s="44">
        <v>4</v>
      </c>
      <c r="G30" s="44">
        <v>5</v>
      </c>
      <c r="H30" s="44">
        <v>6</v>
      </c>
      <c r="I30" s="44">
        <v>7</v>
      </c>
      <c r="J30" s="44">
        <v>8</v>
      </c>
      <c r="K30" s="44">
        <v>9</v>
      </c>
      <c r="L30" s="44">
        <v>10</v>
      </c>
      <c r="M30" s="44">
        <v>11</v>
      </c>
    </row>
    <row r="31" spans="1:14">
      <c r="B31" s="46">
        <v>45291</v>
      </c>
      <c r="C31" s="47">
        <v>0.99</v>
      </c>
      <c r="D31" s="47">
        <v>1.03</v>
      </c>
      <c r="E31" s="47">
        <v>1.07</v>
      </c>
      <c r="F31" s="47">
        <v>1.1200000000000001</v>
      </c>
      <c r="G31" s="47">
        <v>1.18</v>
      </c>
      <c r="H31" s="47">
        <v>1.25</v>
      </c>
      <c r="I31" s="47">
        <v>1.31</v>
      </c>
      <c r="J31" s="47">
        <v>1.38</v>
      </c>
      <c r="K31" s="47">
        <v>1.45</v>
      </c>
      <c r="L31" s="47">
        <v>1.51</v>
      </c>
      <c r="M31" s="47">
        <v>1.57</v>
      </c>
      <c r="N31" s="40"/>
    </row>
    <row r="33" spans="2:2">
      <c r="B33" s="48" t="s">
        <v>50</v>
      </c>
    </row>
  </sheetData>
  <sheetProtection algorithmName="SHA-512" hashValue="95ImgA1hY8y7ti9hbW7Pwy16rIa4ugBxCNt7rhJeh9WVSHd6OeBS0wSjdoV8ojYhDO3ejrlHUPjAjIRDKu/6bQ==" saltValue="9q0Qo730akqlEdxf5QSVjg==" spinCount="100000" sheet="1" objects="1" scenarios="1"/>
  <mergeCells count="5">
    <mergeCell ref="E6:M6"/>
    <mergeCell ref="E7:G7"/>
    <mergeCell ref="H7:J7"/>
    <mergeCell ref="K7:M7"/>
    <mergeCell ref="C29:M29"/>
  </mergeCells>
  <phoneticPr fontId="0" type="noConversion"/>
  <hyperlinks>
    <hyperlink ref="B33" r:id="rId1" xr:uid="{C6773710-DAFC-46DE-AC1A-00984AD6CD8B}"/>
  </hyperlinks>
  <pageMargins left="0.78740157499999996" right="0.78740157499999996" top="0.984251969" bottom="0.984251969" header="0.4921259845" footer="0.4921259845"/>
  <pageSetup paperSize="9" orientation="portrait" horizontalDpi="300" verticalDpi="0" copies="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selection activeCell="I9" sqref="I9"/>
    </sheetView>
  </sheetViews>
  <sheetFormatPr baseColWidth="10" defaultColWidth="11.42578125" defaultRowHeight="12.75"/>
  <cols>
    <col min="1" max="1" width="7.28515625" customWidth="1"/>
    <col min="2" max="2" width="19.42578125" customWidth="1"/>
    <col min="3" max="3" width="6.42578125" customWidth="1"/>
    <col min="5" max="5" width="8.42578125" customWidth="1"/>
    <col min="6" max="6" width="8" customWidth="1"/>
    <col min="7" max="7" width="12.28515625" customWidth="1"/>
    <col min="8" max="8" width="8.5703125" customWidth="1"/>
    <col min="9" max="9" width="8" customWidth="1"/>
    <col min="10" max="10" width="10.5703125" customWidth="1"/>
    <col min="11" max="11" width="8.42578125" customWidth="1"/>
    <col min="12" max="12" width="7.42578125" customWidth="1"/>
    <col min="13" max="13" width="9.28515625" customWidth="1"/>
  </cols>
  <sheetData>
    <row r="1" spans="1:13" ht="18">
      <c r="A1" s="19" t="s">
        <v>0</v>
      </c>
    </row>
    <row r="2" spans="1:13">
      <c r="A2" s="6"/>
    </row>
    <row r="3" spans="1:13">
      <c r="A3" t="s">
        <v>29</v>
      </c>
    </row>
    <row r="4" spans="1:13">
      <c r="A4" s="24" t="s">
        <v>51</v>
      </c>
      <c r="B4" s="41">
        <f>'HB BilMoG 10 Jahre'!B4</f>
        <v>45291</v>
      </c>
    </row>
    <row r="5" spans="1:13" ht="13.5" thickBot="1"/>
    <row r="6" spans="1:13" ht="13.5" thickBot="1">
      <c r="E6" s="49" t="s">
        <v>31</v>
      </c>
      <c r="F6" s="50"/>
      <c r="G6" s="50"/>
      <c r="H6" s="50"/>
      <c r="I6" s="50"/>
      <c r="J6" s="50"/>
      <c r="K6" s="50"/>
      <c r="L6" s="50"/>
      <c r="M6" s="51"/>
    </row>
    <row r="7" spans="1:13" ht="13.5" thickBot="1">
      <c r="E7" s="52" t="s">
        <v>32</v>
      </c>
      <c r="F7" s="53"/>
      <c r="G7" s="54"/>
      <c r="H7" s="55" t="s">
        <v>33</v>
      </c>
      <c r="I7" s="56"/>
      <c r="J7" s="57"/>
      <c r="K7" s="58" t="s">
        <v>34</v>
      </c>
      <c r="L7" s="59"/>
      <c r="M7" s="60"/>
    </row>
    <row r="8" spans="1:13" s="2" customFormat="1" ht="26.25" thickBot="1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39</v>
      </c>
      <c r="I8" s="2" t="s">
        <v>40</v>
      </c>
      <c r="J8" s="2" t="s">
        <v>41</v>
      </c>
      <c r="K8" s="2" t="s">
        <v>39</v>
      </c>
      <c r="L8" s="2" t="s">
        <v>40</v>
      </c>
      <c r="M8" s="2" t="s">
        <v>41</v>
      </c>
    </row>
    <row r="9" spans="1:13" ht="13.5" thickBot="1">
      <c r="A9">
        <f>'HB BilMoG 10 Jahre'!A9</f>
        <v>2024</v>
      </c>
      <c r="B9" s="37">
        <f>StB!B22</f>
        <v>2245</v>
      </c>
      <c r="C9">
        <v>11</v>
      </c>
      <c r="D9" s="3">
        <f>B9/11*C9</f>
        <v>2245</v>
      </c>
      <c r="E9" s="1">
        <v>0</v>
      </c>
      <c r="F9">
        <v>0</v>
      </c>
      <c r="G9" s="3">
        <f>D9</f>
        <v>2245</v>
      </c>
      <c r="H9" s="1">
        <v>0</v>
      </c>
      <c r="I9">
        <v>0.5</v>
      </c>
      <c r="J9" s="3">
        <f>D9</f>
        <v>2245</v>
      </c>
      <c r="K9" s="1">
        <v>0</v>
      </c>
      <c r="L9">
        <v>1</v>
      </c>
      <c r="M9" s="3">
        <f>D9</f>
        <v>2245</v>
      </c>
    </row>
    <row r="10" spans="1:13">
      <c r="A10">
        <f>'HB BilMoG 10 Jahre'!A10</f>
        <v>2025</v>
      </c>
      <c r="B10" s="38">
        <f>B9*(1+$B$24)</f>
        <v>2289.9</v>
      </c>
      <c r="C10">
        <v>10</v>
      </c>
      <c r="D10" s="3">
        <f t="shared" ref="D10:D19" si="0">B10/11*C10</f>
        <v>2081.727272727273</v>
      </c>
      <c r="E10" s="43">
        <f>'HB BilMoG 10 Jahre'!E10</f>
        <v>1.03E-2</v>
      </c>
      <c r="F10">
        <v>1</v>
      </c>
      <c r="G10" s="3">
        <f>D10/(1+E10)^F10</f>
        <v>2060.5040806961033</v>
      </c>
      <c r="H10" s="1">
        <f t="shared" ref="H10:H19" si="1">(E10+K10)/2</f>
        <v>1.03E-2</v>
      </c>
      <c r="I10">
        <v>1.5</v>
      </c>
      <c r="J10" s="3">
        <f>D10/(1+H10)^I10</f>
        <v>2049.9737619276975</v>
      </c>
      <c r="K10" s="43">
        <f>E11</f>
        <v>1.03E-2</v>
      </c>
      <c r="L10">
        <v>2</v>
      </c>
      <c r="M10" s="3">
        <f>D10/(1+K10)^L10</f>
        <v>2039.4972589291331</v>
      </c>
    </row>
    <row r="11" spans="1:13">
      <c r="A11">
        <f>'HB BilMoG 10 Jahre'!A11</f>
        <v>2026</v>
      </c>
      <c r="B11" s="38">
        <f t="shared" ref="B11:B19" si="2">B10*(1+$B$24)</f>
        <v>2335.6980000000003</v>
      </c>
      <c r="C11">
        <v>9</v>
      </c>
      <c r="D11" s="3">
        <f t="shared" si="0"/>
        <v>1911.0256363636365</v>
      </c>
      <c r="E11" s="43">
        <f>'HB BilMoG 10 Jahre'!E11</f>
        <v>1.03E-2</v>
      </c>
      <c r="F11">
        <v>2</v>
      </c>
      <c r="G11" s="3">
        <f t="shared" ref="G11:G19" si="3">D11/(1+E11)^F11</f>
        <v>1872.258483696944</v>
      </c>
      <c r="H11" s="1">
        <f t="shared" si="1"/>
        <v>1.0500000000000001E-2</v>
      </c>
      <c r="I11">
        <v>2.5</v>
      </c>
      <c r="J11" s="3">
        <f t="shared" ref="J11:J19" si="4">D11/(1+H11)^I11</f>
        <v>1861.7686735615055</v>
      </c>
      <c r="K11" s="43">
        <f t="shared" ref="K11:K18" si="5">E12</f>
        <v>1.0700000000000001E-2</v>
      </c>
      <c r="L11">
        <v>3</v>
      </c>
      <c r="M11" s="3">
        <f t="shared" ref="M11:M19" si="6">D11/(1+K11)^L11</f>
        <v>1850.971432696494</v>
      </c>
    </row>
    <row r="12" spans="1:13">
      <c r="A12">
        <f>'HB BilMoG 10 Jahre'!A12</f>
        <v>2027</v>
      </c>
      <c r="B12" s="38">
        <f t="shared" si="2"/>
        <v>2382.4119600000004</v>
      </c>
      <c r="C12">
        <v>8</v>
      </c>
      <c r="D12" s="3">
        <f t="shared" si="0"/>
        <v>1732.6632436363639</v>
      </c>
      <c r="E12" s="43">
        <f>'HB BilMoG 10 Jahre'!E12</f>
        <v>1.0700000000000001E-2</v>
      </c>
      <c r="F12">
        <v>3</v>
      </c>
      <c r="G12" s="3">
        <f t="shared" si="3"/>
        <v>1678.2140989781547</v>
      </c>
      <c r="H12" s="1">
        <f t="shared" si="1"/>
        <v>1.0950000000000001E-2</v>
      </c>
      <c r="I12">
        <v>3.5</v>
      </c>
      <c r="J12" s="3">
        <f t="shared" si="4"/>
        <v>1667.8626927535352</v>
      </c>
      <c r="K12" s="43">
        <f t="shared" si="5"/>
        <v>1.1200000000000002E-2</v>
      </c>
      <c r="L12">
        <v>4</v>
      </c>
      <c r="M12" s="3">
        <f t="shared" si="6"/>
        <v>1657.1656351677666</v>
      </c>
    </row>
    <row r="13" spans="1:13">
      <c r="A13">
        <f>'HB BilMoG 10 Jahre'!A13</f>
        <v>2028</v>
      </c>
      <c r="B13" s="38">
        <f t="shared" si="2"/>
        <v>2430.0601992000006</v>
      </c>
      <c r="C13">
        <v>7</v>
      </c>
      <c r="D13" s="3">
        <f t="shared" si="0"/>
        <v>1546.4019449454549</v>
      </c>
      <c r="E13" s="43">
        <f>'HB BilMoG 10 Jahre'!E13</f>
        <v>1.1200000000000002E-2</v>
      </c>
      <c r="F13">
        <v>4</v>
      </c>
      <c r="G13" s="3">
        <f t="shared" si="3"/>
        <v>1479.0203293872319</v>
      </c>
      <c r="H13" s="1">
        <f t="shared" si="1"/>
        <v>1.15E-2</v>
      </c>
      <c r="I13">
        <v>4.5</v>
      </c>
      <c r="J13" s="3">
        <f t="shared" si="4"/>
        <v>1468.8447497833265</v>
      </c>
      <c r="K13" s="43">
        <f t="shared" si="5"/>
        <v>1.18E-2</v>
      </c>
      <c r="L13">
        <v>5</v>
      </c>
      <c r="M13" s="3">
        <f t="shared" si="6"/>
        <v>1458.3071726953608</v>
      </c>
    </row>
    <row r="14" spans="1:13">
      <c r="A14">
        <f>'HB BilMoG 10 Jahre'!A14</f>
        <v>2029</v>
      </c>
      <c r="B14" s="38">
        <f t="shared" si="2"/>
        <v>2478.6614031840008</v>
      </c>
      <c r="C14">
        <v>6</v>
      </c>
      <c r="D14" s="3">
        <f t="shared" si="0"/>
        <v>1351.997129009455</v>
      </c>
      <c r="E14" s="43">
        <f>'HB BilMoG 10 Jahre'!E14</f>
        <v>1.18E-2</v>
      </c>
      <c r="F14">
        <v>5</v>
      </c>
      <c r="G14" s="3">
        <f t="shared" si="3"/>
        <v>1274.9771281279441</v>
      </c>
      <c r="H14" s="1">
        <f t="shared" si="1"/>
        <v>1.2150000000000001E-2</v>
      </c>
      <c r="I14">
        <v>5.5</v>
      </c>
      <c r="J14" s="3">
        <f t="shared" si="4"/>
        <v>1265.1118754562531</v>
      </c>
      <c r="K14" s="43">
        <f t="shared" si="5"/>
        <v>1.2500000000000001E-2</v>
      </c>
      <c r="L14">
        <v>6</v>
      </c>
      <c r="M14" s="3">
        <f t="shared" si="6"/>
        <v>1254.8897675611825</v>
      </c>
    </row>
    <row r="15" spans="1:13">
      <c r="A15">
        <f>'HB BilMoG 10 Jahre'!A15</f>
        <v>2030</v>
      </c>
      <c r="B15" s="38">
        <f t="shared" si="2"/>
        <v>2528.2346312476807</v>
      </c>
      <c r="C15">
        <v>5</v>
      </c>
      <c r="D15" s="3">
        <f t="shared" si="0"/>
        <v>1149.1975596580367</v>
      </c>
      <c r="E15" s="43">
        <f>'HB BilMoG 10 Jahre'!E15</f>
        <v>1.2500000000000001E-2</v>
      </c>
      <c r="F15">
        <v>6</v>
      </c>
      <c r="G15" s="3">
        <f t="shared" si="3"/>
        <v>1066.6563024270051</v>
      </c>
      <c r="H15" s="1">
        <f t="shared" si="1"/>
        <v>1.2800000000000001E-2</v>
      </c>
      <c r="I15">
        <v>6.5</v>
      </c>
      <c r="J15" s="3">
        <f t="shared" si="4"/>
        <v>1058.0122416813867</v>
      </c>
      <c r="K15" s="43">
        <f t="shared" si="5"/>
        <v>1.3100000000000001E-2</v>
      </c>
      <c r="L15">
        <v>7</v>
      </c>
      <c r="M15" s="3">
        <f t="shared" si="6"/>
        <v>1049.1280232088113</v>
      </c>
    </row>
    <row r="16" spans="1:13">
      <c r="A16">
        <f>'HB BilMoG 10 Jahre'!A16</f>
        <v>2031</v>
      </c>
      <c r="B16" s="38">
        <f t="shared" si="2"/>
        <v>2578.7993238726344</v>
      </c>
      <c r="C16">
        <v>4</v>
      </c>
      <c r="D16" s="3">
        <f t="shared" si="0"/>
        <v>937.74520868095794</v>
      </c>
      <c r="E16" s="43">
        <f>'HB BilMoG 10 Jahre'!E16</f>
        <v>1.3100000000000001E-2</v>
      </c>
      <c r="F16">
        <v>7</v>
      </c>
      <c r="G16" s="3">
        <f t="shared" si="3"/>
        <v>856.08846693839007</v>
      </c>
      <c r="H16" s="1">
        <f t="shared" si="1"/>
        <v>1.345E-2</v>
      </c>
      <c r="I16">
        <v>7.5</v>
      </c>
      <c r="J16" s="3">
        <f t="shared" si="4"/>
        <v>848.33503126643404</v>
      </c>
      <c r="K16" s="43">
        <f t="shared" si="5"/>
        <v>1.38E-2</v>
      </c>
      <c r="L16">
        <v>8</v>
      </c>
      <c r="M16" s="3">
        <f t="shared" si="6"/>
        <v>840.36229558665661</v>
      </c>
    </row>
    <row r="17" spans="1:13">
      <c r="A17">
        <f>'HB BilMoG 10 Jahre'!A17</f>
        <v>2032</v>
      </c>
      <c r="B17" s="38">
        <f t="shared" si="2"/>
        <v>2630.3753103500871</v>
      </c>
      <c r="C17">
        <v>3</v>
      </c>
      <c r="D17" s="3">
        <f t="shared" si="0"/>
        <v>717.37508464093287</v>
      </c>
      <c r="E17" s="43">
        <f>'HB BilMoG 10 Jahre'!E17</f>
        <v>1.38E-2</v>
      </c>
      <c r="F17">
        <v>8</v>
      </c>
      <c r="G17" s="3">
        <f t="shared" si="3"/>
        <v>642.87715612379236</v>
      </c>
      <c r="H17" s="1">
        <f t="shared" si="1"/>
        <v>1.4149999999999999E-2</v>
      </c>
      <c r="I17">
        <v>8.5</v>
      </c>
      <c r="J17" s="3">
        <f t="shared" si="4"/>
        <v>636.61612030066158</v>
      </c>
      <c r="K17" s="43">
        <f t="shared" si="5"/>
        <v>1.4499999999999999E-2</v>
      </c>
      <c r="L17">
        <v>9</v>
      </c>
      <c r="M17" s="3">
        <f t="shared" si="6"/>
        <v>630.1991697364773</v>
      </c>
    </row>
    <row r="18" spans="1:13">
      <c r="A18">
        <f>'HB BilMoG 10 Jahre'!A18</f>
        <v>2033</v>
      </c>
      <c r="B18" s="38">
        <f t="shared" si="2"/>
        <v>2682.9828165570889</v>
      </c>
      <c r="C18">
        <v>2</v>
      </c>
      <c r="D18" s="3">
        <f t="shared" si="0"/>
        <v>487.81505755583436</v>
      </c>
      <c r="E18" s="43">
        <f>'HB BilMoG 10 Jahre'!E18</f>
        <v>1.4499999999999999E-2</v>
      </c>
      <c r="F18">
        <v>9</v>
      </c>
      <c r="G18" s="3">
        <f t="shared" si="3"/>
        <v>428.53543542080462</v>
      </c>
      <c r="H18" s="1">
        <f t="shared" si="1"/>
        <v>1.4800000000000001E-2</v>
      </c>
      <c r="I18">
        <v>9.5</v>
      </c>
      <c r="J18" s="3">
        <f t="shared" si="4"/>
        <v>424.26855558654552</v>
      </c>
      <c r="K18" s="43">
        <f t="shared" si="5"/>
        <v>1.5100000000000001E-2</v>
      </c>
      <c r="L18">
        <v>10</v>
      </c>
      <c r="M18" s="3">
        <f t="shared" si="6"/>
        <v>419.92035213541004</v>
      </c>
    </row>
    <row r="19" spans="1:13" ht="13.5" thickBot="1">
      <c r="A19">
        <f>'HB BilMoG 10 Jahre'!A18+1</f>
        <v>2034</v>
      </c>
      <c r="B19" s="39">
        <f t="shared" si="2"/>
        <v>2736.6424728882307</v>
      </c>
      <c r="C19">
        <v>1</v>
      </c>
      <c r="D19" s="3">
        <f t="shared" si="0"/>
        <v>248.78567935347553</v>
      </c>
      <c r="E19" s="43">
        <f>'HB BilMoG 10 Jahre'!K18</f>
        <v>1.5100000000000001E-2</v>
      </c>
      <c r="F19">
        <v>10</v>
      </c>
      <c r="G19" s="3">
        <f t="shared" si="3"/>
        <v>214.15937958905911</v>
      </c>
      <c r="H19" s="1">
        <f t="shared" si="1"/>
        <v>1.54E-2</v>
      </c>
      <c r="I19">
        <v>10.5</v>
      </c>
      <c r="J19" s="3">
        <f t="shared" si="4"/>
        <v>211.90207408488823</v>
      </c>
      <c r="K19" s="43">
        <f>'HB BilMoG 10 Jahre'!M31/100</f>
        <v>1.5700000000000002E-2</v>
      </c>
      <c r="L19">
        <v>11</v>
      </c>
      <c r="M19" s="3">
        <f t="shared" si="6"/>
        <v>209.60681594574442</v>
      </c>
    </row>
    <row r="20" spans="1:13" ht="13.5" thickBot="1">
      <c r="B20" s="3"/>
      <c r="D20" s="3"/>
      <c r="G20" s="3"/>
      <c r="J20" s="3"/>
      <c r="M20" s="3"/>
    </row>
    <row r="21" spans="1:13" ht="13.5" thickBot="1">
      <c r="A21" t="s">
        <v>22</v>
      </c>
      <c r="B21" s="3">
        <f>SUM(B9:B20)</f>
        <v>27318.766117299721</v>
      </c>
      <c r="D21" s="3">
        <f>SUM(D9:D20)</f>
        <v>14409.733816571419</v>
      </c>
      <c r="G21" s="7">
        <f>SUM(G9:G20)</f>
        <v>13818.290861385431</v>
      </c>
      <c r="H21" s="6"/>
      <c r="I21" s="6"/>
      <c r="J21" s="11">
        <f>SUM(J9:J20)</f>
        <v>13737.695776402232</v>
      </c>
      <c r="K21" s="6"/>
      <c r="L21" s="6"/>
      <c r="M21" s="15">
        <f>SUM(M9:M20)</f>
        <v>13655.047923663036</v>
      </c>
    </row>
    <row r="22" spans="1:13" ht="13.5" thickBot="1"/>
    <row r="23" spans="1:13" ht="13.5" thickBot="1">
      <c r="B23" t="s">
        <v>42</v>
      </c>
      <c r="E23" t="s">
        <v>43</v>
      </c>
      <c r="F23" s="4" t="s">
        <v>44</v>
      </c>
      <c r="G23" s="8">
        <f>ROUND(G21,0)</f>
        <v>13818</v>
      </c>
      <c r="H23" s="3"/>
      <c r="I23" s="3"/>
      <c r="J23" s="12">
        <f>ROUND(J21,0)</f>
        <v>13738</v>
      </c>
      <c r="K23" s="3"/>
      <c r="L23" s="3"/>
      <c r="M23" s="16">
        <f>ROUND(M21,0)</f>
        <v>13655</v>
      </c>
    </row>
    <row r="24" spans="1:13" ht="13.5" thickBot="1">
      <c r="B24" s="42">
        <f>'HB BilMoG 10 Jahre'!B24</f>
        <v>0.02</v>
      </c>
      <c r="F24" s="4" t="s">
        <v>45</v>
      </c>
      <c r="G24" s="9">
        <f>ROUND(G21,-2)</f>
        <v>13800</v>
      </c>
      <c r="H24" s="3"/>
      <c r="I24" s="3"/>
      <c r="J24" s="13">
        <f>ROUND(J21,-2)</f>
        <v>13700</v>
      </c>
      <c r="K24" s="3"/>
      <c r="L24" s="3"/>
      <c r="M24" s="17">
        <f>ROUND(M21,-2)</f>
        <v>13700</v>
      </c>
    </row>
    <row r="25" spans="1:13" ht="13.5" thickBot="1">
      <c r="F25" s="4" t="s">
        <v>46</v>
      </c>
      <c r="G25" s="10">
        <f>ROUND(G21,-3)</f>
        <v>14000</v>
      </c>
      <c r="H25" s="3"/>
      <c r="I25" s="3"/>
      <c r="J25" s="14">
        <f>ROUND(J21,-3)</f>
        <v>14000</v>
      </c>
      <c r="K25" s="3"/>
      <c r="L25" s="3"/>
      <c r="M25" s="18">
        <f>ROUND(M21,-3)</f>
        <v>14000</v>
      </c>
    </row>
    <row r="29" spans="1:13">
      <c r="G29" s="24"/>
    </row>
  </sheetData>
  <sheetProtection algorithmName="SHA-512" hashValue="kITFn5WspDq+3uqUGm4BjM6IMCLnIjKCfQMVdQIXtGnuCeVUIb3lDBb21noBMgpiklIhdI/8aeX0tCxESx+kKQ==" saltValue="A81aFMZEWnRz7ToU1IMhsg==" spinCount="100000" sheet="1" objects="1" scenarios="1"/>
  <mergeCells count="4">
    <mergeCell ref="E7:G7"/>
    <mergeCell ref="H7:J7"/>
    <mergeCell ref="K7:M7"/>
    <mergeCell ref="E6:M6"/>
  </mergeCells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>
      <selection activeCell="F9" sqref="F9"/>
    </sheetView>
  </sheetViews>
  <sheetFormatPr baseColWidth="10" defaultColWidth="11.42578125" defaultRowHeight="12.75"/>
  <cols>
    <col min="1" max="16384" width="11.42578125" style="22"/>
  </cols>
  <sheetData>
    <row r="1" spans="1:4">
      <c r="A1" s="21" t="s">
        <v>52</v>
      </c>
    </row>
    <row r="2" spans="1:4">
      <c r="A2" s="21" t="s">
        <v>53</v>
      </c>
    </row>
    <row r="3" spans="1:4">
      <c r="A3" s="21" t="s">
        <v>54</v>
      </c>
    </row>
    <row r="4" spans="1:4">
      <c r="A4" s="21" t="s">
        <v>55</v>
      </c>
    </row>
    <row r="5" spans="1:4">
      <c r="A5" s="21" t="s">
        <v>56</v>
      </c>
    </row>
    <row r="6" spans="1:4">
      <c r="A6" s="21"/>
    </row>
    <row r="7" spans="1:4">
      <c r="A7" s="21" t="s">
        <v>57</v>
      </c>
    </row>
    <row r="8" spans="1:4">
      <c r="A8" s="21" t="s">
        <v>58</v>
      </c>
    </row>
    <row r="9" spans="1:4">
      <c r="A9" s="21" t="s">
        <v>59</v>
      </c>
    </row>
    <row r="10" spans="1:4">
      <c r="A10" s="21"/>
    </row>
    <row r="11" spans="1:4">
      <c r="A11" s="21" t="s">
        <v>60</v>
      </c>
    </row>
    <row r="12" spans="1:4" ht="9" customHeight="1">
      <c r="A12" s="23"/>
    </row>
    <row r="13" spans="1:4" ht="108.75" customHeight="1">
      <c r="D13"/>
    </row>
    <row r="14" spans="1:4" ht="21.75" customHeight="1"/>
    <row r="15" spans="1:4" ht="4.5" customHeight="1"/>
    <row r="16" spans="1:4" ht="22.5" customHeight="1"/>
  </sheetData>
  <sheetProtection algorithmName="SHA-512" hashValue="rPMsS+erCFS2oMXH0zs0j8zSEIX8SgVE6Divwaf9vTcKo12P7Acs+dC+AzSotIDZdM+EpLNPjBx766+//3n3+Q==" saltValue="idl0993c1NeNgvv7ACZCiA==" spinCount="100000" sheet="1" objects="1" scenarios="1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StB</vt:lpstr>
      <vt:lpstr>HB BilMoG 10 Jahre</vt:lpstr>
      <vt:lpstr>HB BilMoG 11 Jahre</vt:lpstr>
      <vt:lpstr>Impressum und Lizenz</vt:lpstr>
    </vt:vector>
  </TitlesOfParts>
  <Manager/>
  <Company>Hendricks Consulting, Bonn</Company>
  <LinksUpToDate>false</LinksUpToDate>
  <SharedDoc>false</SharedDoc>
  <HyperlinkBase>www.hendricks-consulting.de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Rückstellungermittler Aufbewahrung Geschäftsunterlagen</dc:title>
  <dc:subject/>
  <dc:creator>Lukas Hendricks</dc:creator>
  <cp:keywords/>
  <dc:description/>
  <cp:lastModifiedBy>Lukas Hendricks</cp:lastModifiedBy>
  <cp:revision/>
  <dcterms:created xsi:type="dcterms:W3CDTF">2024-04-29T14:48:19Z</dcterms:created>
  <dcterms:modified xsi:type="dcterms:W3CDTF">2024-05-02T12:06:44Z</dcterms:modified>
  <cp:category/>
  <cp:contentStatus/>
</cp:coreProperties>
</file>