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a8c7b590f47f11/Dokumente/IFU/Online Updates/2024/"/>
    </mc:Choice>
  </mc:AlternateContent>
  <xr:revisionPtr revIDLastSave="49" documentId="14_{56D0BD50-06B0-425B-97ED-1FACF8836A8D}" xr6:coauthVersionLast="47" xr6:coauthVersionMax="47" xr10:uidLastSave="{5DA1849B-3449-4849-99D2-DDCB7FAF63A4}"/>
  <bookViews>
    <workbookView xWindow="17880" yWindow="615" windowWidth="30015" windowHeight="14985" activeTab="4" xr2:uid="{264B1C49-1ADC-4B4D-9ADA-3EA365E53AC6}"/>
  </bookViews>
  <sheets>
    <sheet name="degressive Gebäude-AfA" sheetId="1" r:id="rId1"/>
    <sheet name="degressive Gebäude-AfA  mit 7b" sheetId="4" r:id="rId2"/>
    <sheet name="7g 2024" sheetId="2" r:id="rId3"/>
    <sheet name="degressive AfA 2024" sheetId="3" r:id="rId4"/>
    <sheet name="Thesaurierungsbesteuerung §34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D10" i="5" s="1"/>
  <c r="K14" i="5"/>
  <c r="K15" i="5" s="1"/>
  <c r="B27" i="5"/>
  <c r="B28" i="5"/>
  <c r="B9" i="5"/>
  <c r="D9" i="5" s="1"/>
  <c r="D15" i="5" s="1"/>
  <c r="D16" i="5" s="1"/>
  <c r="B11" i="4"/>
  <c r="D11" i="4" s="1"/>
  <c r="D8" i="4"/>
  <c r="B32" i="4"/>
  <c r="B30" i="4"/>
  <c r="B13" i="4"/>
  <c r="E13" i="4" s="1"/>
  <c r="D3" i="4"/>
  <c r="B12" i="3"/>
  <c r="E12" i="3" s="1"/>
  <c r="B12" i="2"/>
  <c r="B7" i="3"/>
  <c r="B10" i="3" s="1"/>
  <c r="B13" i="3" s="1"/>
  <c r="E13" i="3" s="1"/>
  <c r="B9" i="1"/>
  <c r="B10" i="2"/>
  <c r="B11" i="2"/>
  <c r="B9" i="2"/>
  <c r="E9" i="2" s="1"/>
  <c r="B16" i="2"/>
  <c r="B11" i="5" l="1"/>
  <c r="B22" i="5"/>
  <c r="D22" i="5" s="1"/>
  <c r="B21" i="5"/>
  <c r="D21" i="5" s="1"/>
  <c r="D11" i="5"/>
  <c r="R7" i="4"/>
  <c r="B14" i="4" s="1"/>
  <c r="E14" i="4" s="1"/>
  <c r="B9" i="3"/>
  <c r="E9" i="3" s="1"/>
  <c r="E10" i="3"/>
  <c r="B10" i="1"/>
  <c r="B14" i="2"/>
  <c r="E14" i="2" s="1"/>
  <c r="E11" i="2"/>
  <c r="E10" i="2"/>
  <c r="D27" i="5" l="1"/>
  <c r="D28" i="5" s="1"/>
  <c r="D23" i="5"/>
  <c r="D24" i="5" s="1"/>
  <c r="D25" i="5" s="1"/>
  <c r="D26" i="5" s="1"/>
  <c r="D29" i="5" s="1"/>
  <c r="B23" i="5"/>
  <c r="B12" i="5"/>
  <c r="B24" i="5" s="1"/>
  <c r="D12" i="5"/>
  <c r="D13" i="5" s="1"/>
  <c r="D14" i="5" s="1"/>
  <c r="D17" i="5" s="1"/>
  <c r="B16" i="4"/>
  <c r="E16" i="4" s="1"/>
  <c r="B15" i="4"/>
  <c r="B18" i="4"/>
  <c r="E18" i="4" s="1"/>
  <c r="B20" i="4"/>
  <c r="E20" i="4" s="1"/>
  <c r="B11" i="1"/>
  <c r="E12" i="2"/>
  <c r="B17" i="4" l="1"/>
  <c r="B19" i="4" s="1"/>
  <c r="E19" i="4" s="1"/>
  <c r="B13" i="5"/>
  <c r="B25" i="5" s="1"/>
  <c r="E15" i="4"/>
  <c r="B12" i="1"/>
  <c r="B13" i="1" s="1"/>
  <c r="B17" i="2"/>
  <c r="B21" i="4" l="1"/>
  <c r="E17" i="4"/>
  <c r="B14" i="5"/>
  <c r="F14" i="5" s="1"/>
  <c r="B14" i="1"/>
  <c r="D3" i="1"/>
  <c r="B22" i="4" l="1"/>
  <c r="B23" i="4" s="1"/>
  <c r="B17" i="5"/>
  <c r="B29" i="5" s="1"/>
  <c r="F29" i="5" s="1"/>
  <c r="B26" i="5"/>
  <c r="F26" i="5" s="1"/>
  <c r="E21" i="4"/>
  <c r="B15" i="1"/>
  <c r="B22" i="1"/>
  <c r="B24" i="1"/>
  <c r="E9" i="1"/>
  <c r="E22" i="4" l="1"/>
  <c r="B24" i="4"/>
  <c r="F17" i="5"/>
  <c r="E23" i="4"/>
  <c r="B16" i="1"/>
  <c r="B17" i="1" s="1"/>
  <c r="B18" i="1" s="1"/>
  <c r="E11" i="1"/>
  <c r="B25" i="4" l="1"/>
  <c r="B26" i="4" s="1"/>
  <c r="E10" i="1"/>
  <c r="E24" i="4" l="1"/>
  <c r="E13" i="1"/>
  <c r="E12" i="1"/>
  <c r="E25" i="4" l="1"/>
  <c r="E14" i="1"/>
  <c r="E26" i="4" l="1"/>
  <c r="E28" i="4" s="1"/>
  <c r="B31" i="4" s="1"/>
  <c r="B34" i="4" s="1"/>
  <c r="B28" i="4"/>
  <c r="E16" i="1"/>
  <c r="E15" i="1"/>
  <c r="E17" i="1"/>
  <c r="E18" i="1" l="1"/>
  <c r="E20" i="1" s="1"/>
  <c r="B23" i="1" s="1"/>
  <c r="B26" i="1" s="1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Hendricks</author>
  </authors>
  <commentList>
    <comment ref="A4" authorId="0" shapeId="0" xr:uid="{29E20181-F32A-4BAB-B509-BFF3A6AF38B8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bei Kauf anteilige Anschaffungskosten des Gebäudes</t>
        </r>
      </text>
    </comment>
    <comment ref="A5" authorId="0" shapeId="0" xr:uid="{703052C1-FDAD-4825-B126-DD888C5670F9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ab zvE 67.000 € / 134.000 € ca. 42% zzgl. 5,5% SolZ = 44,31%, ab ca. 277.000 € / 554.000 €  ca. 45% zzgl. 5,5% SolZ = 47,47%</t>
        </r>
      </text>
    </comment>
    <comment ref="A7" authorId="0" shapeId="0" xr:uid="{7AE43F25-A4B5-488D-A0E4-82E3A808CD5C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für zeitanteilige AfA im Erstjahr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Hendricks</author>
  </authors>
  <commentList>
    <comment ref="A4" authorId="0" shapeId="0" xr:uid="{C25C74F7-132F-4178-8B71-927F7F7251D5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bei Kauf anteilige Anschaffungskosten des Gebäudes</t>
        </r>
      </text>
    </comment>
    <comment ref="A5" authorId="0" shapeId="0" xr:uid="{52CF29BF-8367-45B2-B8E4-99FF8F6683BB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ab zvE 67.000 € / 134.000 € ca. 42% zzgl. 5,5% SolZ = 44,31%, ab ca. 277.000 € / 554.000 €  ca. 45% zzgl. 5,5% SolZ = 47,47%</t>
        </r>
      </text>
    </comment>
    <comment ref="A7" authorId="0" shapeId="0" xr:uid="{5E075BD8-ADA9-4FC3-AE85-9C253ED2D385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für zeitanteilige AfA im Erstjahr</t>
        </r>
      </text>
    </comment>
    <comment ref="A8" authorId="0" shapeId="0" xr:uid="{D13CF082-D630-4069-85CD-8266BE1E8D96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„Effizienzhaus 40“ mit Nachhaltigkeits-Klasse erfüllt und nachgewiesen dies durch Qualitätssiegel Nachhaltiges Gebäude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Hendricks</author>
  </authors>
  <commentList>
    <comment ref="A4" authorId="0" shapeId="0" xr:uid="{D4337714-34CF-49A5-A20E-326603B88CF5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nur bewegliche Wirtschaftsgüter</t>
        </r>
      </text>
    </comment>
    <comment ref="A5" authorId="0" shapeId="0" xr:uid="{D285C1C0-C712-4EEE-956C-33EF84D63EAD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ab zvE 67.000 € / 134.000 € ca. 42% zzgl. 5,5% SolZ = 44,31%, ab ca. 277.000 € / 554.000 €  ca. 45% zzgl. 5,5% SolZ = 47,47%</t>
        </r>
      </text>
    </comment>
    <comment ref="A7" authorId="0" shapeId="0" xr:uid="{2C35A5F0-1374-41E2-8232-4ED7D4E1639C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für zeitanteilige AfA im Erstjahr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Hendricks</author>
  </authors>
  <commentList>
    <comment ref="A4" authorId="0" shapeId="0" xr:uid="{300ED450-6BF5-45A5-8874-2A30592E8B3F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degressive AfA nur für bewegliche Wirtschaftsgüter</t>
        </r>
      </text>
    </comment>
    <comment ref="A5" authorId="0" shapeId="0" xr:uid="{8D17CBE6-D207-4AC4-8530-1D572EC5E71E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ab zvE 67.000 € / 134.000 € ca. 42% zzgl. 5,5% SolZ = 44,31%, ab ca. 277.000 € / 554.000 €  ca. 45% zzgl. 5,5% SolZ = 47,47%</t>
        </r>
      </text>
    </comment>
    <comment ref="A7" authorId="0" shapeId="0" xr:uid="{4715A5F8-767A-44CD-8C61-3893AC23F006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für zeitanteilige AfA im Erstjahr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Hendricks</author>
  </authors>
  <commentList>
    <comment ref="A4" authorId="0" shapeId="0" xr:uid="{3257716F-16FC-4160-B404-C06C28BB274D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lokaler Gewerbesteuerhebesatz ihrer Gemeinde</t>
        </r>
      </text>
    </comment>
    <comment ref="A5" authorId="0" shapeId="0" xr:uid="{44F00E85-C49A-49DB-BFF3-EC1C0F03CD43}">
      <text>
        <r>
          <rPr>
            <b/>
            <sz val="9"/>
            <color indexed="81"/>
            <rFont val="Segoe UI"/>
            <family val="2"/>
          </rPr>
          <t>Lukas Hendricks:</t>
        </r>
        <r>
          <rPr>
            <sz val="9"/>
            <color indexed="81"/>
            <rFont val="Segoe UI"/>
            <family val="2"/>
          </rPr>
          <t xml:space="preserve">
ab zvE 67.000 € / 134.000 € ca. 42% zzgl. 5,5% SolZ = 44,31%, ab ca. 277.000 € / 554.000 €  ca. 45% zzgl. 5,5% SolZ = 47,47%</t>
        </r>
      </text>
    </comment>
  </commentList>
</comments>
</file>

<file path=xl/sharedStrings.xml><?xml version="1.0" encoding="utf-8"?>
<sst xmlns="http://schemas.openxmlformats.org/spreadsheetml/2006/main" count="136" uniqueCount="78">
  <si>
    <t>Herstellungskosten des Neubaus</t>
  </si>
  <si>
    <t>Datum der Bauanzeige</t>
  </si>
  <si>
    <t>AfA 1. Jahr</t>
  </si>
  <si>
    <t>AfA 2. Jahr</t>
  </si>
  <si>
    <t>AfA 3. Jahr</t>
  </si>
  <si>
    <t>AfA 4. Jahr</t>
  </si>
  <si>
    <t>AfA 5. Jahr</t>
  </si>
  <si>
    <t>AfA 6. Jahr</t>
  </si>
  <si>
    <t>AfA 7. Jahr</t>
  </si>
  <si>
    <t>AfA 8. Jahr</t>
  </si>
  <si>
    <t>AfA 9. Jahr</t>
  </si>
  <si>
    <t>AfA 10. Jahr</t>
  </si>
  <si>
    <t>Steuerersparnis 1. Jahr</t>
  </si>
  <si>
    <t>Steuerersparnis 2. Jahr</t>
  </si>
  <si>
    <t>Steuerersparnis 3. Jahr</t>
  </si>
  <si>
    <t>Steuerersparnis 4. Jahr</t>
  </si>
  <si>
    <t>Steuerersparnis 5. Jahr</t>
  </si>
  <si>
    <t>Steuerersparnis 6. Jahr</t>
  </si>
  <si>
    <t>Steuerersparnis 7. Jahr</t>
  </si>
  <si>
    <t>Steuerersparnis 8. Jahr</t>
  </si>
  <si>
    <t>Steuerersparnis 9. Jahr</t>
  </si>
  <si>
    <t>Steuerersparnis 10. Jahr</t>
  </si>
  <si>
    <t>Ihr persönlicher Grenzsteuersatz</t>
  </si>
  <si>
    <t>erwartete Wertsteigerung pro Jahr</t>
  </si>
  <si>
    <t>Summe AfA</t>
  </si>
  <si>
    <t>Summe Steuerersparnis</t>
  </si>
  <si>
    <t>erwarteter Verkaufspreis</t>
  </si>
  <si>
    <t>Ihr Invest</t>
  </si>
  <si>
    <t>Steuerersparnisse</t>
  </si>
  <si>
    <t>Gewinn nach Steuern</t>
  </si>
  <si>
    <t>Monat der Fertigstellung / Anschaffung</t>
  </si>
  <si>
    <t>Steuerersparnisrechner degressive AfA Neubauten Wachstumschancengesetz</t>
  </si>
  <si>
    <t>Steuerersparnisrechner § 7g - AfA neu 2024</t>
  </si>
  <si>
    <t>Jahr des Erwerbs</t>
  </si>
  <si>
    <t>Anschaffungs-/Herstellungskosten des Wirtschaftsgutes</t>
  </si>
  <si>
    <t>AfA § 7g Abs. 5 EStG</t>
  </si>
  <si>
    <t>Nutzungsdauer des Wirtschaftsgutes in Jahren</t>
  </si>
  <si>
    <t>lineare AfA Erstjahr</t>
  </si>
  <si>
    <t>degressive AfA Erstjahr</t>
  </si>
  <si>
    <t>Steuerersparnis bis Erstjahr</t>
  </si>
  <si>
    <t>max. Investitionsabzugsbetrag (IAB) Vorjahr</t>
  </si>
  <si>
    <t>Steuerersparnis IAB</t>
  </si>
  <si>
    <t>Steuerersparnis Sonderafa</t>
  </si>
  <si>
    <t>Steuerersparnis degressive AfA</t>
  </si>
  <si>
    <t>Steuerersparnis lineare AfA</t>
  </si>
  <si>
    <t>Tag des Erwerbs</t>
  </si>
  <si>
    <t>lineare AfA Folgejahr</t>
  </si>
  <si>
    <t>degressive AfA Folgejahr</t>
  </si>
  <si>
    <t>Steuerersparnisrechner lineare vs. degressive AfA - neu 2024</t>
  </si>
  <si>
    <t>KfW-Effizienzhaus 40 mit QNG</t>
  </si>
  <si>
    <t>ja</t>
  </si>
  <si>
    <t>nein</t>
  </si>
  <si>
    <t>Herstellungskosten je qm Wohnfläche</t>
  </si>
  <si>
    <t>AfA 1. Jahr § 7 Abs. 5a EStG</t>
  </si>
  <si>
    <t>AfA 2. Jahr  § 7 Abs. 5a EStG</t>
  </si>
  <si>
    <t>AfA 3. Jahr  § 7 Abs. 5a EStG</t>
  </si>
  <si>
    <t>AfA 4. Jahr  § 7 Abs. 5a EStG</t>
  </si>
  <si>
    <t>Sonderafa 1. Jahr § 7b EStG</t>
  </si>
  <si>
    <t>Sonderafa 2. Jahr § 7b EStG</t>
  </si>
  <si>
    <t>Datum Bauantrag</t>
  </si>
  <si>
    <t>qm Wohnfläche</t>
  </si>
  <si>
    <t>Gewinn</t>
  </si>
  <si>
    <t>GewSt-Hebesatz</t>
  </si>
  <si>
    <t>Gewinn vor Steuern</t>
  </si>
  <si>
    <t>GewSt</t>
  </si>
  <si>
    <t>Normalversteuerung</t>
  </si>
  <si>
    <t>Thesaurierungsbesteuerung</t>
  </si>
  <si>
    <t>Einkommensteuer</t>
  </si>
  <si>
    <t>Nachsteuer bei späterer Entnahme</t>
  </si>
  <si>
    <t>verbleiben nach Steuer final</t>
  </si>
  <si>
    <t>verbleiben nach Steuer bis Entnahme</t>
  </si>
  <si>
    <t>Ihr persönlicher Steuersatz</t>
  </si>
  <si>
    <t>Summe Steuern vor Entnahme</t>
  </si>
  <si>
    <t>Liquiditätsvorteil</t>
  </si>
  <si>
    <t>Steuernachteil</t>
  </si>
  <si>
    <t>nur GewSt</t>
  </si>
  <si>
    <t>Solidaritätszuschlag</t>
  </si>
  <si>
    <t>Vereinfachte Simulation Thesaurierungsbesteuerung gem. § 34a EStG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</si>
</sst>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u/>
      <sz val="24"/>
      <color theme="1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b/>
      <sz val="13"/>
      <color theme="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A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2" borderId="0" xfId="0" applyFont="1" applyFill="1"/>
    <xf numFmtId="9" fontId="2" fillId="2" borderId="0" xfId="0" applyNumberFormat="1" applyFont="1" applyFill="1"/>
    <xf numFmtId="6" fontId="2" fillId="3" borderId="1" xfId="0" applyNumberFormat="1" applyFont="1" applyFill="1" applyBorder="1"/>
    <xf numFmtId="0" fontId="4" fillId="2" borderId="0" xfId="2" applyFont="1" applyFill="1"/>
    <xf numFmtId="0" fontId="5" fillId="2" borderId="0" xfId="1" applyFont="1" applyFill="1" applyBorder="1"/>
    <xf numFmtId="14" fontId="2" fillId="4" borderId="1" xfId="0" applyNumberFormat="1" applyFont="1" applyFill="1" applyBorder="1" applyProtection="1">
      <protection locked="0"/>
    </xf>
    <xf numFmtId="6" fontId="2" fillId="4" borderId="1" xfId="0" applyNumberFormat="1" applyFont="1" applyFill="1" applyBorder="1" applyProtection="1">
      <protection locked="0"/>
    </xf>
    <xf numFmtId="9" fontId="2" fillId="4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horizontal="center" vertical="center" wrapText="1"/>
    </xf>
    <xf numFmtId="0" fontId="2" fillId="4" borderId="1" xfId="0" applyFont="1" applyFill="1" applyBorder="1" applyProtection="1">
      <protection locked="0"/>
    </xf>
    <xf numFmtId="0" fontId="0" fillId="2" borderId="0" xfId="0" applyFill="1"/>
    <xf numFmtId="0" fontId="10" fillId="2" borderId="0" xfId="0" applyFont="1" applyFill="1" applyAlignment="1">
      <alignment horizontal="center" vertical="center" wrapText="1"/>
    </xf>
    <xf numFmtId="6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Protection="1">
      <protection locked="0"/>
    </xf>
    <xf numFmtId="0" fontId="8" fillId="2" borderId="0" xfId="0" applyFont="1" applyFill="1"/>
    <xf numFmtId="164" fontId="2" fillId="4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/>
    <xf numFmtId="9" fontId="8" fillId="2" borderId="0" xfId="0" applyNumberFormat="1" applyFont="1" applyFill="1" applyAlignment="1">
      <alignment horizontal="center" vertical="center" wrapText="1"/>
    </xf>
    <xf numFmtId="6" fontId="8" fillId="2" borderId="0" xfId="0" applyNumberFormat="1" applyFont="1" applyFill="1" applyAlignment="1">
      <alignment horizontal="center" vertical="center" wrapText="1"/>
    </xf>
    <xf numFmtId="6" fontId="2" fillId="2" borderId="0" xfId="0" applyNumberFormat="1" applyFont="1" applyFill="1"/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2" xfId="2" xr:uid="{EA6A9C9D-CBF0-462D-A8BB-71491AF59FA5}"/>
  </cellStyles>
  <dxfs count="0"/>
  <tableStyles count="0" defaultTableStyle="TableStyleMedium2" defaultPivotStyle="PivotStyleLight16"/>
  <colors>
    <mruColors>
      <color rgb="FF7A0000"/>
      <color rgb="FFA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94139</xdr:rowOff>
    </xdr:from>
    <xdr:to>
      <xdr:col>10</xdr:col>
      <xdr:colOff>250764</xdr:colOff>
      <xdr:row>35</xdr:row>
      <xdr:rowOff>60990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CC554B6-F620-4024-B927-2C78A922E7D7}"/>
            </a:ext>
          </a:extLst>
        </xdr:cNvPr>
        <xdr:cNvSpPr>
          <a:spLocks noChangeArrowheads="1"/>
        </xdr:cNvSpPr>
      </xdr:nvSpPr>
      <xdr:spPr bwMode="auto">
        <a:xfrm>
          <a:off x="19050" y="5028089"/>
          <a:ext cx="10471089" cy="199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0000" tIns="46800" rIns="90000" bIns="46800" anchor="ctr">
          <a:sp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200" b="1">
              <a:sym typeface="Symbol" pitchFamily="18" charset="2"/>
            </a:rPr>
            <a:t>Disclaimer: </a:t>
          </a:r>
          <a:r>
            <a:rPr lang="de-DE" altLang="de-DE" sz="1400" b="1">
              <a:sym typeface="Symbol" pitchFamily="18" charset="2"/>
            </a:rPr>
            <a:t>	</a:t>
          </a:r>
          <a:r>
            <a:rPr lang="de-DE" altLang="de-DE" sz="1000" b="0">
              <a:sym typeface="Symbol" pitchFamily="18" charset="2"/>
            </a:rPr>
            <a:t>Der Inhalt der vorliegenden Berechnungshilfe ist nach bestem Wissen und Kenntnisstand  sorgfältig bearbeitet und erstellt worden.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Wegen der vielen Neuerungen und der Dynamik des Rechtsgebiets</a:t>
          </a:r>
          <a:r>
            <a:rPr lang="de-DE" altLang="de-DE" sz="1000" b="0" baseline="0">
              <a:sym typeface="Symbol" pitchFamily="18" charset="2"/>
            </a:rPr>
            <a:t> sowie des nicht abgeschlossenen Gesetzgebungsverfahrens kann jedoch </a:t>
          </a:r>
          <a:r>
            <a:rPr lang="de-DE" altLang="de-DE" sz="1000" b="0">
              <a:sym typeface="Symbol" pitchFamily="18" charset="2"/>
            </a:rPr>
            <a:t>keinerlei Haftung übernommen werden.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 vorliegenden Inhalte dienen lediglich der allgemeinen Information und geben die öffentlich bekannten und zugänglichen wirtschaftlichen, steuerlichen und rechtlichen Konsequenzen der Wachtumschancengesetzes sowie des aktuellen Einkommensteuergesetzes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in Auszügen wieder.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Die</a:t>
          </a:r>
          <a:r>
            <a:rPr lang="de-DE" altLang="de-DE" sz="1000" b="0" baseline="0">
              <a:sym typeface="Symbol" pitchFamily="18" charset="2"/>
            </a:rPr>
            <a:t> zu Grunde liegenden Annahmen können sich durch künftige Gesetzesänderungen ändern.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Dieses Informationsangebot stellt keine Rechts- oder Steuerberatung im Einzelfall dar. </a:t>
          </a:r>
          <a:br>
            <a:rPr lang="de-DE" altLang="de-DE" sz="1000" b="0">
              <a:sym typeface="Symbol" pitchFamily="18" charset="2"/>
            </a:rPr>
          </a:br>
          <a:r>
            <a:rPr lang="de-DE" altLang="de-DE" sz="1000" b="0">
              <a:sym typeface="Symbol" pitchFamily="18" charset="2"/>
            </a:rPr>
            <a:t>Es kann eine Beratung im Einzelfall durch einen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Steuerberater oder Rechtsanwalt nicht ersetzen, stellt aber keine Aufforderung zur Rechts- oder Steuerberatung dar.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Alle Rechte vorbehalten, Nachdruck und Vervielfältigung, Weitergabe sowie Verwendung dieses Konzeptes - auch auszugsweise -  nur mit Genehmigung  des Verfassers. </a:t>
          </a:r>
        </a:p>
        <a:p>
          <a:pPr eaLnBrk="1" hangingPunct="1"/>
          <a:r>
            <a:rPr lang="de-DE" altLang="de-DE" sz="1400" b="1">
              <a:sym typeface="Symbol" pitchFamily="18" charset="2"/>
            </a:rPr>
            <a:t>						</a:t>
          </a:r>
          <a:r>
            <a:rPr lang="de-DE" altLang="de-DE" sz="1400" b="1" baseline="0">
              <a:sym typeface="Symbol" pitchFamily="18" charset="2"/>
            </a:rPr>
            <a:t>           </a:t>
          </a:r>
          <a:r>
            <a:rPr lang="de-DE" altLang="de-DE" sz="1400" b="1">
              <a:sym typeface="Symbol" pitchFamily="18" charset="2"/>
            </a:rPr>
            <a:t>  Lukas Hendricks, Bonn</a:t>
          </a:r>
          <a:endParaRPr lang="de-DE" altLang="de-DE" sz="1400">
            <a:latin typeface="Times New Roman" pitchFamily="18" charset="0"/>
            <a:cs typeface="Times New Roman" pitchFamily="18" charset="0"/>
            <a:sym typeface="Symbol" pitchFamily="18" charset="2"/>
          </a:endParaRPr>
        </a:p>
      </xdr:txBody>
    </xdr:sp>
    <xdr:clientData/>
  </xdr:twoCellAnchor>
  <xdr:twoCellAnchor editAs="oneCell">
    <xdr:from>
      <xdr:col>2</xdr:col>
      <xdr:colOff>495300</xdr:colOff>
      <xdr:row>21</xdr:row>
      <xdr:rowOff>85725</xdr:rowOff>
    </xdr:from>
    <xdr:to>
      <xdr:col>4</xdr:col>
      <xdr:colOff>428625</xdr:colOff>
      <xdr:row>26</xdr:row>
      <xdr:rowOff>63634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F2221F2-D704-F0F2-4284-7F834E2A3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943350"/>
          <a:ext cx="1704975" cy="882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94139</xdr:rowOff>
    </xdr:from>
    <xdr:to>
      <xdr:col>10</xdr:col>
      <xdr:colOff>250764</xdr:colOff>
      <xdr:row>43</xdr:row>
      <xdr:rowOff>60990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B991218-1BB6-4D9C-8545-3B41FF5AF34B}"/>
            </a:ext>
          </a:extLst>
        </xdr:cNvPr>
        <xdr:cNvSpPr>
          <a:spLocks noChangeArrowheads="1"/>
        </xdr:cNvSpPr>
      </xdr:nvSpPr>
      <xdr:spPr bwMode="auto">
        <a:xfrm>
          <a:off x="19050" y="5228114"/>
          <a:ext cx="10890189" cy="199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0000" tIns="46800" rIns="90000" bIns="46800" anchor="ctr">
          <a:sp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200" b="1">
              <a:sym typeface="Symbol" pitchFamily="18" charset="2"/>
            </a:rPr>
            <a:t>Disclaimer: </a:t>
          </a:r>
          <a:r>
            <a:rPr lang="de-DE" altLang="de-DE" sz="1400" b="1">
              <a:sym typeface="Symbol" pitchFamily="18" charset="2"/>
            </a:rPr>
            <a:t>	</a:t>
          </a:r>
          <a:r>
            <a:rPr lang="de-DE" altLang="de-DE" sz="1000" b="0">
              <a:sym typeface="Symbol" pitchFamily="18" charset="2"/>
            </a:rPr>
            <a:t>Der Inhalt der vorliegenden Berechnungshilfe ist nach bestem Wissen und Kenntnisstand  sorgfältig bearbeitet und erstellt worden.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Wegen der vielen Neuerungen und der Dynamik des Rechtsgebiets</a:t>
          </a:r>
          <a:r>
            <a:rPr lang="de-DE" altLang="de-DE" sz="1000" b="0" baseline="0">
              <a:sym typeface="Symbol" pitchFamily="18" charset="2"/>
            </a:rPr>
            <a:t> sowie des nicht abgeschlossenen Gesetzgebungsverfahrens kann jedoch </a:t>
          </a:r>
          <a:r>
            <a:rPr lang="de-DE" altLang="de-DE" sz="1000" b="0">
              <a:sym typeface="Symbol" pitchFamily="18" charset="2"/>
            </a:rPr>
            <a:t>keinerlei Haftung übernommen werden.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 vorliegenden Inhalte dienen lediglich der allgemeinen Information und geben die öffentlich bekannten und zugänglichen wirtschaftlichen, steuerlichen und rechtlichen Konsequenzen der Wachtumschancengesetzes sowie des aktuellen Einkommensteuergesetzes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in Auszügen wieder.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Die</a:t>
          </a:r>
          <a:r>
            <a:rPr lang="de-DE" altLang="de-DE" sz="1000" b="0" baseline="0">
              <a:sym typeface="Symbol" pitchFamily="18" charset="2"/>
            </a:rPr>
            <a:t> zu Grunde liegenden Annahmen können sich durch künftige Gesetzesänderungen ändern.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Dieses Informationsangebot stellt keine Rechts- oder Steuerberatung im Einzelfall dar. </a:t>
          </a:r>
          <a:br>
            <a:rPr lang="de-DE" altLang="de-DE" sz="1000" b="0">
              <a:sym typeface="Symbol" pitchFamily="18" charset="2"/>
            </a:rPr>
          </a:br>
          <a:r>
            <a:rPr lang="de-DE" altLang="de-DE" sz="1000" b="0">
              <a:sym typeface="Symbol" pitchFamily="18" charset="2"/>
            </a:rPr>
            <a:t>Es kann eine Beratung im Einzelfall durch einen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Steuerberater oder Rechtsanwalt nicht ersetzen, stellt aber keine Aufforderung zur Rechts- oder Steuerberatung dar.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Alle Rechte vorbehalten, Nachdruck und Vervielfältigung, Weitergabe sowie Verwendung dieses Konzeptes - auch auszugsweise -  nur mit Genehmigung  des Verfassers. </a:t>
          </a:r>
        </a:p>
        <a:p>
          <a:pPr eaLnBrk="1" hangingPunct="1"/>
          <a:r>
            <a:rPr lang="de-DE" altLang="de-DE" sz="1400" b="1">
              <a:sym typeface="Symbol" pitchFamily="18" charset="2"/>
            </a:rPr>
            <a:t>						</a:t>
          </a:r>
          <a:r>
            <a:rPr lang="de-DE" altLang="de-DE" sz="1400" b="1" baseline="0">
              <a:sym typeface="Symbol" pitchFamily="18" charset="2"/>
            </a:rPr>
            <a:t>           </a:t>
          </a:r>
          <a:r>
            <a:rPr lang="de-DE" altLang="de-DE" sz="1400" b="1">
              <a:sym typeface="Symbol" pitchFamily="18" charset="2"/>
            </a:rPr>
            <a:t>  Lukas Hendricks, Bonn</a:t>
          </a:r>
          <a:endParaRPr lang="de-DE" altLang="de-DE" sz="1400">
            <a:latin typeface="Times New Roman" pitchFamily="18" charset="0"/>
            <a:cs typeface="Times New Roman" pitchFamily="18" charset="0"/>
            <a:sym typeface="Symbol" pitchFamily="18" charset="2"/>
          </a:endParaRPr>
        </a:p>
      </xdr:txBody>
    </xdr:sp>
    <xdr:clientData/>
  </xdr:twoCellAnchor>
  <xdr:twoCellAnchor editAs="oneCell">
    <xdr:from>
      <xdr:col>2</xdr:col>
      <xdr:colOff>495300</xdr:colOff>
      <xdr:row>29</xdr:row>
      <xdr:rowOff>85725</xdr:rowOff>
    </xdr:from>
    <xdr:to>
      <xdr:col>4</xdr:col>
      <xdr:colOff>428625</xdr:colOff>
      <xdr:row>34</xdr:row>
      <xdr:rowOff>63634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EC70DA1-F373-452D-AC5C-994D7E09C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943350"/>
          <a:ext cx="1704975" cy="882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2</xdr:row>
      <xdr:rowOff>19050</xdr:rowOff>
    </xdr:from>
    <xdr:to>
      <xdr:col>4</xdr:col>
      <xdr:colOff>152400</xdr:colOff>
      <xdr:row>6</xdr:row>
      <xdr:rowOff>139834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6112C1C-BB1A-411D-84EF-581E3ECF4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428625"/>
          <a:ext cx="1704975" cy="8827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219075</xdr:rowOff>
    </xdr:from>
    <xdr:to>
      <xdr:col>9</xdr:col>
      <xdr:colOff>250764</xdr:colOff>
      <xdr:row>26</xdr:row>
      <xdr:rowOff>214501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B9A556FC-8247-4E28-B1FB-C4A45C7E418C}"/>
            </a:ext>
          </a:extLst>
        </xdr:cNvPr>
        <xdr:cNvSpPr>
          <a:spLocks noChangeArrowheads="1"/>
        </xdr:cNvSpPr>
      </xdr:nvSpPr>
      <xdr:spPr bwMode="auto">
        <a:xfrm>
          <a:off x="0" y="4057650"/>
          <a:ext cx="10890189" cy="199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0000" tIns="46800" rIns="90000" bIns="46800" anchor="ctr">
          <a:sp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200" b="1">
              <a:sym typeface="Symbol" pitchFamily="18" charset="2"/>
            </a:rPr>
            <a:t>Disclaimer: </a:t>
          </a:r>
          <a:r>
            <a:rPr lang="de-DE" altLang="de-DE" sz="1400" b="1">
              <a:sym typeface="Symbol" pitchFamily="18" charset="2"/>
            </a:rPr>
            <a:t>	</a:t>
          </a:r>
          <a:r>
            <a:rPr lang="de-DE" altLang="de-DE" sz="1000" b="0">
              <a:sym typeface="Symbol" pitchFamily="18" charset="2"/>
            </a:rPr>
            <a:t>Der Inhalt der vorliegenden Berechnungshilfe ist nach bestem Wissen und Kenntnisstand  sorgfältig bearbeitet und erstellt worden.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Wegen der vielen Neuerungen und der Dynamik des Rechtsgebiets</a:t>
          </a:r>
          <a:r>
            <a:rPr lang="de-DE" altLang="de-DE" sz="1000" b="0" baseline="0">
              <a:sym typeface="Symbol" pitchFamily="18" charset="2"/>
            </a:rPr>
            <a:t> sowie des nicht abgeschlossenen Gesetzgebungsverfahrens kann jedoch </a:t>
          </a:r>
          <a:r>
            <a:rPr lang="de-DE" altLang="de-DE" sz="1000" b="0">
              <a:sym typeface="Symbol" pitchFamily="18" charset="2"/>
            </a:rPr>
            <a:t>keinerlei Haftung übernommen werden.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 vorliegenden Inhalte dienen lediglich der allgemeinen Information und geben die öffentlich bekannten und zugänglichen wirtschaftlichen, steuerlichen und rechtlichen Konsequenzen der Wachtumschancengesetzes sowie des aktuellen Einkommensteuergesetzes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in Auszügen wieder.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Die</a:t>
          </a:r>
          <a:r>
            <a:rPr lang="de-DE" altLang="de-DE" sz="1000" b="0" baseline="0">
              <a:sym typeface="Symbol" pitchFamily="18" charset="2"/>
            </a:rPr>
            <a:t> zu Grunde liegenden Annahmen können sich durch künftige Gesetzesänderungen ändern.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Dieses Informationsangebot stellt keine Rechts- oder Steuerberatung im Einzelfall dar. </a:t>
          </a:r>
          <a:br>
            <a:rPr lang="de-DE" altLang="de-DE" sz="1000" b="0">
              <a:sym typeface="Symbol" pitchFamily="18" charset="2"/>
            </a:rPr>
          </a:br>
          <a:r>
            <a:rPr lang="de-DE" altLang="de-DE" sz="1000" b="0">
              <a:sym typeface="Symbol" pitchFamily="18" charset="2"/>
            </a:rPr>
            <a:t>Es kann eine Beratung im Einzelfall durch einen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Steuerberater oder Rechtsanwalt nicht ersetzen, stellt aber keine Aufforderung zur Rechts- oder Steuerberatung dar.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Alle Rechte vorbehalten, Nachdruck und Vervielfältigung, Weitergabe sowie Verwendung dieses Konzeptes - auch auszugsweise -  nur mit Genehmigung  des Verfassers. </a:t>
          </a:r>
        </a:p>
        <a:p>
          <a:pPr eaLnBrk="1" hangingPunct="1"/>
          <a:r>
            <a:rPr lang="de-DE" altLang="de-DE" sz="1400" b="1">
              <a:sym typeface="Symbol" pitchFamily="18" charset="2"/>
            </a:rPr>
            <a:t>						</a:t>
          </a:r>
          <a:r>
            <a:rPr lang="de-DE" altLang="de-DE" sz="1400" b="1" baseline="0">
              <a:sym typeface="Symbol" pitchFamily="18" charset="2"/>
            </a:rPr>
            <a:t>           </a:t>
          </a:r>
          <a:r>
            <a:rPr lang="de-DE" altLang="de-DE" sz="1400" b="1">
              <a:sym typeface="Symbol" pitchFamily="18" charset="2"/>
            </a:rPr>
            <a:t>  Lukas Hendricks, Bonn</a:t>
          </a:r>
          <a:endParaRPr lang="de-DE" altLang="de-DE" sz="1400">
            <a:latin typeface="Times New Roman" pitchFamily="18" charset="0"/>
            <a:cs typeface="Times New Roman" pitchFamily="18" charset="0"/>
            <a:sym typeface="Symbol" pitchFamily="18" charset="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2</xdr:row>
      <xdr:rowOff>19050</xdr:rowOff>
    </xdr:from>
    <xdr:to>
      <xdr:col>4</xdr:col>
      <xdr:colOff>152400</xdr:colOff>
      <xdr:row>6</xdr:row>
      <xdr:rowOff>139834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FF91E5B-AF22-4404-ACFB-8473C7D20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428625"/>
          <a:ext cx="1704975" cy="8827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219075</xdr:rowOff>
    </xdr:from>
    <xdr:to>
      <xdr:col>9</xdr:col>
      <xdr:colOff>250764</xdr:colOff>
      <xdr:row>20</xdr:row>
      <xdr:rowOff>214501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C228CAB-467F-4CF6-97ED-30EF9AB64BC4}"/>
            </a:ext>
          </a:extLst>
        </xdr:cNvPr>
        <xdr:cNvSpPr>
          <a:spLocks noChangeArrowheads="1"/>
        </xdr:cNvSpPr>
      </xdr:nvSpPr>
      <xdr:spPr bwMode="auto">
        <a:xfrm>
          <a:off x="0" y="4057650"/>
          <a:ext cx="11156889" cy="199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0000" tIns="46800" rIns="90000" bIns="46800" anchor="ctr">
          <a:sp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200" b="1">
              <a:sym typeface="Symbol" pitchFamily="18" charset="2"/>
            </a:rPr>
            <a:t>Disclaimer: </a:t>
          </a:r>
          <a:r>
            <a:rPr lang="de-DE" altLang="de-DE" sz="1400" b="1">
              <a:sym typeface="Symbol" pitchFamily="18" charset="2"/>
            </a:rPr>
            <a:t>	</a:t>
          </a:r>
          <a:r>
            <a:rPr lang="de-DE" altLang="de-DE" sz="1000" b="0">
              <a:sym typeface="Symbol" pitchFamily="18" charset="2"/>
            </a:rPr>
            <a:t>Der Inhalt der vorliegenden Berechnungshilfe ist nach bestem Wissen und Kenntnisstand  sorgfältig bearbeitet und erstellt worden.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Wegen der vielen Neuerungen und der Dynamik des Rechtsgebiets</a:t>
          </a:r>
          <a:r>
            <a:rPr lang="de-DE" altLang="de-DE" sz="1000" b="0" baseline="0">
              <a:sym typeface="Symbol" pitchFamily="18" charset="2"/>
            </a:rPr>
            <a:t> sowie des nicht abgeschlossenen Gesetzgebungsverfahrens kann jedoch </a:t>
          </a:r>
          <a:r>
            <a:rPr lang="de-DE" altLang="de-DE" sz="1000" b="0">
              <a:sym typeface="Symbol" pitchFamily="18" charset="2"/>
            </a:rPr>
            <a:t>keinerlei Haftung übernommen werden.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 vorliegenden Inhalte dienen lediglich der allgemeinen Information und geben die öffentlich bekannten und zugänglichen wirtschaftlichen, steuerlichen und rechtlichen Konsequenzen der Wachtumschancengesetzes sowie des aktuellen Einkommensteuergesetzes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in Auszügen wieder.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Die</a:t>
          </a:r>
          <a:r>
            <a:rPr lang="de-DE" altLang="de-DE" sz="1000" b="0" baseline="0">
              <a:sym typeface="Symbol" pitchFamily="18" charset="2"/>
            </a:rPr>
            <a:t> zu Grunde liegenden Annahmen können sich durch künftige Gesetzesänderungen ändern.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Dieses Informationsangebot stellt keine Rechts- oder Steuerberatung im Einzelfall dar. </a:t>
          </a:r>
          <a:br>
            <a:rPr lang="de-DE" altLang="de-DE" sz="1000" b="0">
              <a:sym typeface="Symbol" pitchFamily="18" charset="2"/>
            </a:rPr>
          </a:br>
          <a:r>
            <a:rPr lang="de-DE" altLang="de-DE" sz="1000" b="0">
              <a:sym typeface="Symbol" pitchFamily="18" charset="2"/>
            </a:rPr>
            <a:t>Es kann eine Beratung im Einzelfall durch einen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Steuerberater oder Rechtsanwalt nicht ersetzen, stellt aber keine Aufforderung zur Rechts- oder Steuerberatung dar.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Alle Rechte vorbehalten, Nachdruck und Vervielfältigung, Weitergabe sowie Verwendung dieses Konzeptes - auch auszugsweise -  nur mit Genehmigung  des Verfassers. </a:t>
          </a:r>
        </a:p>
        <a:p>
          <a:pPr eaLnBrk="1" hangingPunct="1"/>
          <a:r>
            <a:rPr lang="de-DE" altLang="de-DE" sz="1400" b="1">
              <a:sym typeface="Symbol" pitchFamily="18" charset="2"/>
            </a:rPr>
            <a:t>						</a:t>
          </a:r>
          <a:r>
            <a:rPr lang="de-DE" altLang="de-DE" sz="1400" b="1" baseline="0">
              <a:sym typeface="Symbol" pitchFamily="18" charset="2"/>
            </a:rPr>
            <a:t>           </a:t>
          </a:r>
          <a:r>
            <a:rPr lang="de-DE" altLang="de-DE" sz="1400" b="1">
              <a:sym typeface="Symbol" pitchFamily="18" charset="2"/>
            </a:rPr>
            <a:t>  Lukas Hendricks, Bonn</a:t>
          </a:r>
          <a:endParaRPr lang="de-DE" altLang="de-DE" sz="1400">
            <a:latin typeface="Times New Roman" pitchFamily="18" charset="0"/>
            <a:cs typeface="Times New Roman" pitchFamily="18" charset="0"/>
            <a:sym typeface="Symbol" pitchFamily="18" charset="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38101</xdr:colOff>
      <xdr:row>2</xdr:row>
      <xdr:rowOff>27705</xdr:rowOff>
    </xdr:from>
    <xdr:to>
      <xdr:col>4</xdr:col>
      <xdr:colOff>28576</xdr:colOff>
      <xdr:row>5</xdr:row>
      <xdr:rowOff>97333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6869F0-59D0-47B7-BC21-88576C5D1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437280"/>
          <a:ext cx="1238250" cy="641128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30</xdr:row>
      <xdr:rowOff>0</xdr:rowOff>
    </xdr:from>
    <xdr:to>
      <xdr:col>9</xdr:col>
      <xdr:colOff>355539</xdr:colOff>
      <xdr:row>37</xdr:row>
      <xdr:rowOff>24001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48C296D2-FA8E-4E5A-8CAA-12C5279809D0}"/>
            </a:ext>
          </a:extLst>
        </xdr:cNvPr>
        <xdr:cNvSpPr>
          <a:spLocks noChangeArrowheads="1"/>
        </xdr:cNvSpPr>
      </xdr:nvSpPr>
      <xdr:spPr bwMode="auto">
        <a:xfrm>
          <a:off x="104775" y="6076950"/>
          <a:ext cx="12195114" cy="232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0000" tIns="46800" rIns="90000" bIns="46800" anchor="ctr">
          <a:sp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200" b="1">
              <a:sym typeface="Symbol" pitchFamily="18" charset="2"/>
            </a:rPr>
            <a:t>Disclaimer: </a:t>
          </a:r>
          <a:r>
            <a:rPr lang="de-DE" altLang="de-DE" sz="1400" b="1">
              <a:sym typeface="Symbol" pitchFamily="18" charset="2"/>
            </a:rPr>
            <a:t>	</a:t>
          </a:r>
          <a:r>
            <a:rPr lang="de-DE" altLang="de-DE" sz="1000" b="0">
              <a:sym typeface="Symbol" pitchFamily="18" charset="2"/>
            </a:rPr>
            <a:t>Der Inhalt der vorliegenden Berechnungshilfe ist nach bestem Wissen und Kenntnisstand  sorgfältig bearbeitet und erstellt worden. </a:t>
          </a:r>
        </a:p>
        <a:p>
          <a:pPr eaLnBrk="1" hangingPunct="1"/>
          <a:r>
            <a:rPr lang="de-DE" altLang="de-DE" sz="1000" b="0">
              <a:sym typeface="Symbol" pitchFamily="18" charset="2"/>
            </a:rPr>
            <a:t>Wegen der vielen Neuerungen und der Dynamik des Rechtsgebiets</a:t>
          </a:r>
          <a:r>
            <a:rPr lang="de-DE" altLang="de-DE" sz="1000" b="0" baseline="0">
              <a:sym typeface="Symbol" pitchFamily="18" charset="2"/>
            </a:rPr>
            <a:t> sowie des nicht abgeschlossenen Gesetzgebungsverfahrens kann jedoch </a:t>
          </a:r>
          <a:r>
            <a:rPr lang="de-DE" altLang="de-DE" sz="1000" b="0">
              <a:sym typeface="Symbol" pitchFamily="18" charset="2"/>
            </a:rPr>
            <a:t>keinerlei Haftung übernommen werden.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 vorliegenden Inhalte dienen lediglich der allgemeinen Information und geben die öffentlich bekannten und zugänglichen wirtschaftlichen, steuerlichen und rechtlichen Konsequenzen der Wachtumschancengesetzes sowie des aktuellen Einkommensteuergesetzes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in Auszügen wieder. Die Effekte wurden zudem bzgl. der progessiven</a:t>
          </a:r>
          <a:r>
            <a:rPr lang="de-DE" altLang="de-DE" sz="1000" b="0" baseline="0">
              <a:sym typeface="Symbol" pitchFamily="18" charset="2"/>
            </a:rPr>
            <a:t> Steuersätze und des Solidaritätszuschlages vereinfacht dargestellt und bedürfen der detaillierten Berechnung im Einzelfall. </a:t>
          </a:r>
          <a:r>
            <a:rPr lang="de-DE" altLang="de-DE" sz="1000" b="0">
              <a:sym typeface="Symbol" pitchFamily="18" charset="2"/>
            </a:rPr>
            <a:t>Die</a:t>
          </a:r>
          <a:r>
            <a:rPr lang="de-DE" altLang="de-DE" sz="1000" b="0" baseline="0">
              <a:sym typeface="Symbol" pitchFamily="18" charset="2"/>
            </a:rPr>
            <a:t> zu Grunde liegenden Annahmen können sich durch künftige Gesetzesänderungen ändern.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Dieses Informationsangebot stellt keine Rechts- oder Steuerberatung im Einzelfall dar. </a:t>
          </a:r>
          <a:br>
            <a:rPr lang="de-DE" altLang="de-DE" sz="1000" b="0">
              <a:sym typeface="Symbol" pitchFamily="18" charset="2"/>
            </a:rPr>
          </a:br>
          <a:r>
            <a:rPr lang="de-DE" altLang="de-DE" sz="1000" b="0">
              <a:sym typeface="Symbol" pitchFamily="18" charset="2"/>
            </a:rPr>
            <a:t>Es kann eine Beratung im Einzelfall durch einen</a:t>
          </a:r>
          <a:r>
            <a:rPr lang="de-DE" altLang="de-DE" sz="1000" b="0" baseline="0">
              <a:sym typeface="Symbol" pitchFamily="18" charset="2"/>
            </a:rPr>
            <a:t> </a:t>
          </a:r>
          <a:r>
            <a:rPr lang="de-DE" altLang="de-DE" sz="1000" b="0">
              <a:sym typeface="Symbol" pitchFamily="18" charset="2"/>
            </a:rPr>
            <a:t>Steuerberater oder Rechtsanwalt nicht ersetzen, stellt aber keine Aufforderung zur Rechts- oder Steuerberatung dar.</a:t>
          </a:r>
        </a:p>
        <a:p>
          <a:pPr eaLnBrk="1" hangingPunct="1"/>
          <a:endParaRPr lang="de-DE" altLang="de-DE" sz="1000" b="0">
            <a:sym typeface="Symbol" pitchFamily="18" charset="2"/>
          </a:endParaRPr>
        </a:p>
        <a:p>
          <a:pPr eaLnBrk="1" hangingPunct="1"/>
          <a:r>
            <a:rPr lang="de-DE" altLang="de-DE" sz="1000" b="0">
              <a:sym typeface="Symbol" pitchFamily="18" charset="2"/>
            </a:rPr>
            <a:t>Alle Rechte vorbehalten, Nachdruck und Vervielfältigung, Weitergabe sowie Verwendung dieses Konzeptes - auch auszugsweise -  nur mit Genehmigung  des Verfassers. </a:t>
          </a:r>
        </a:p>
        <a:p>
          <a:pPr eaLnBrk="1" hangingPunct="1"/>
          <a:r>
            <a:rPr lang="de-DE" altLang="de-DE" sz="1400" b="1">
              <a:sym typeface="Symbol" pitchFamily="18" charset="2"/>
            </a:rPr>
            <a:t>						</a:t>
          </a:r>
          <a:r>
            <a:rPr lang="de-DE" altLang="de-DE" sz="1400" b="1" baseline="0">
              <a:sym typeface="Symbol" pitchFamily="18" charset="2"/>
            </a:rPr>
            <a:t>           </a:t>
          </a:r>
          <a:r>
            <a:rPr lang="de-DE" altLang="de-DE" sz="1400" b="1">
              <a:sym typeface="Symbol" pitchFamily="18" charset="2"/>
            </a:rPr>
            <a:t>  Lukas Hendricks, Bonn</a:t>
          </a:r>
          <a:endParaRPr lang="de-DE" altLang="de-DE" sz="1400">
            <a:latin typeface="Times New Roman" pitchFamily="18" charset="0"/>
            <a:cs typeface="Times New Roman" pitchFamily="18" charset="0"/>
            <a:sym typeface="Symbol" pitchFamily="18" charset="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37053-D1D2-49D8-A0E4-39E2E9843E87}">
  <dimension ref="A1:K41"/>
  <sheetViews>
    <sheetView workbookViewId="0">
      <selection activeCell="B8" sqref="B8"/>
    </sheetView>
  </sheetViews>
  <sheetFormatPr baseColWidth="10" defaultColWidth="13.28515625" defaultRowHeight="14.25" x14ac:dyDescent="0.2"/>
  <cols>
    <col min="1" max="1" width="40.28515625" style="1" customWidth="1"/>
    <col min="2" max="16384" width="13.28515625" style="1"/>
  </cols>
  <sheetData>
    <row r="1" spans="1:7" ht="17.25" thickBot="1" x14ac:dyDescent="0.3">
      <c r="A1" s="21" t="s">
        <v>31</v>
      </c>
      <c r="B1" s="22"/>
      <c r="C1" s="22"/>
      <c r="D1" s="22"/>
      <c r="E1" s="23"/>
    </row>
    <row r="3" spans="1:7" ht="15" customHeight="1" x14ac:dyDescent="0.2">
      <c r="A3" s="1" t="s">
        <v>1</v>
      </c>
      <c r="B3" s="6">
        <v>45200</v>
      </c>
      <c r="D3" s="24" t="str">
        <f>IF(B3&lt;DATE(2023,10,1),"Achtung: erhöhte Abschreibung ist erst ab Bauanzeige ab dem 01.10.2023 möglich !","")</f>
        <v/>
      </c>
      <c r="E3" s="24"/>
      <c r="F3" s="24"/>
      <c r="G3" s="24"/>
    </row>
    <row r="4" spans="1:7" x14ac:dyDescent="0.2">
      <c r="A4" s="1" t="s">
        <v>0</v>
      </c>
      <c r="B4" s="7">
        <v>500000</v>
      </c>
      <c r="D4" s="24"/>
      <c r="E4" s="24"/>
      <c r="F4" s="24"/>
      <c r="G4" s="24"/>
    </row>
    <row r="5" spans="1:7" x14ac:dyDescent="0.2">
      <c r="A5" s="1" t="s">
        <v>22</v>
      </c>
      <c r="B5" s="8">
        <v>0.44309999999999999</v>
      </c>
      <c r="D5" s="24"/>
      <c r="E5" s="24"/>
      <c r="F5" s="24"/>
      <c r="G5" s="24"/>
    </row>
    <row r="6" spans="1:7" x14ac:dyDescent="0.2">
      <c r="A6" s="1" t="s">
        <v>23</v>
      </c>
      <c r="B6" s="8">
        <v>0.03</v>
      </c>
      <c r="D6" s="24"/>
      <c r="E6" s="24"/>
      <c r="F6" s="24"/>
      <c r="G6" s="24"/>
    </row>
    <row r="7" spans="1:7" ht="15" x14ac:dyDescent="0.2">
      <c r="A7" s="1" t="s">
        <v>30</v>
      </c>
      <c r="B7" s="10">
        <v>5</v>
      </c>
      <c r="D7" s="9"/>
      <c r="E7" s="9"/>
      <c r="F7" s="9"/>
      <c r="G7" s="9"/>
    </row>
    <row r="8" spans="1:7" x14ac:dyDescent="0.2">
      <c r="B8" s="2"/>
    </row>
    <row r="9" spans="1:7" x14ac:dyDescent="0.2">
      <c r="A9" s="1" t="s">
        <v>2</v>
      </c>
      <c r="B9" s="3">
        <f>B4*0.05/12*(13-B7)</f>
        <v>16666.666666666668</v>
      </c>
      <c r="C9" s="1" t="s">
        <v>12</v>
      </c>
      <c r="E9" s="3">
        <f>B9*$B$5</f>
        <v>7385</v>
      </c>
    </row>
    <row r="10" spans="1:7" x14ac:dyDescent="0.2">
      <c r="A10" s="1" t="s">
        <v>3</v>
      </c>
      <c r="B10" s="3">
        <f>(B4-B9)*0.05</f>
        <v>24166.666666666668</v>
      </c>
      <c r="C10" s="1" t="s">
        <v>13</v>
      </c>
      <c r="E10" s="3">
        <f t="shared" ref="E10:E18" si="0">B10*$B$5</f>
        <v>10708.25</v>
      </c>
    </row>
    <row r="11" spans="1:7" x14ac:dyDescent="0.2">
      <c r="A11" s="1" t="s">
        <v>4</v>
      </c>
      <c r="B11" s="3">
        <f>(B4-B9-B10)*0.05</f>
        <v>22958.333333333332</v>
      </c>
      <c r="C11" s="1" t="s">
        <v>14</v>
      </c>
      <c r="E11" s="3">
        <f t="shared" si="0"/>
        <v>10172.8375</v>
      </c>
    </row>
    <row r="12" spans="1:7" x14ac:dyDescent="0.2">
      <c r="A12" s="1" t="s">
        <v>5</v>
      </c>
      <c r="B12" s="3">
        <f>(B4-B9-B10-B11)*0.05</f>
        <v>21810.416666666668</v>
      </c>
      <c r="C12" s="1" t="s">
        <v>15</v>
      </c>
      <c r="E12" s="3">
        <f t="shared" si="0"/>
        <v>9664.1956250000003</v>
      </c>
    </row>
    <row r="13" spans="1:7" x14ac:dyDescent="0.2">
      <c r="A13" s="1" t="s">
        <v>6</v>
      </c>
      <c r="B13" s="3">
        <f>(B4-B9-B10-B11-B12)*0.05</f>
        <v>20719.895833333332</v>
      </c>
      <c r="C13" s="1" t="s">
        <v>16</v>
      </c>
      <c r="E13" s="3">
        <f t="shared" si="0"/>
        <v>9180.9858437499988</v>
      </c>
    </row>
    <row r="14" spans="1:7" x14ac:dyDescent="0.2">
      <c r="A14" s="1" t="s">
        <v>7</v>
      </c>
      <c r="B14" s="3">
        <f>(B4-B9-B10-B11-B12-B13)*0.05</f>
        <v>19683.901041666668</v>
      </c>
      <c r="C14" s="1" t="s">
        <v>17</v>
      </c>
      <c r="E14" s="3">
        <f t="shared" si="0"/>
        <v>8721.9365515624995</v>
      </c>
    </row>
    <row r="15" spans="1:7" x14ac:dyDescent="0.2">
      <c r="A15" s="1" t="s">
        <v>8</v>
      </c>
      <c r="B15" s="3">
        <f>(B4-B9-B10-B11-B12-B13-B14)*0.05</f>
        <v>18699.705989583334</v>
      </c>
      <c r="C15" s="1" t="s">
        <v>18</v>
      </c>
      <c r="E15" s="3">
        <f t="shared" si="0"/>
        <v>8285.8397239843744</v>
      </c>
    </row>
    <row r="16" spans="1:7" x14ac:dyDescent="0.2">
      <c r="A16" s="1" t="s">
        <v>9</v>
      </c>
      <c r="B16" s="3">
        <f>(B4-B9-B10-B11-B12-B13-B14-B15)*0.05</f>
        <v>17764.720690104165</v>
      </c>
      <c r="C16" s="1" t="s">
        <v>19</v>
      </c>
      <c r="E16" s="3">
        <f t="shared" si="0"/>
        <v>7871.5477377851548</v>
      </c>
    </row>
    <row r="17" spans="1:11" x14ac:dyDescent="0.2">
      <c r="A17" s="1" t="s">
        <v>10</v>
      </c>
      <c r="B17" s="3">
        <f>(B4-B9-B10-B11-B12-B13-B14-B15-B16)*0.05</f>
        <v>16876.484655598957</v>
      </c>
      <c r="C17" s="1" t="s">
        <v>20</v>
      </c>
      <c r="E17" s="3">
        <f t="shared" si="0"/>
        <v>7477.9703508958974</v>
      </c>
    </row>
    <row r="18" spans="1:11" x14ac:dyDescent="0.2">
      <c r="A18" s="1" t="s">
        <v>11</v>
      </c>
      <c r="B18" s="3">
        <f>(B4-B9-B10-B11-B12-B13-B14-B15-B16-B17)*0.05</f>
        <v>16032.66042281901</v>
      </c>
      <c r="C18" s="1" t="s">
        <v>21</v>
      </c>
      <c r="E18" s="3">
        <f t="shared" si="0"/>
        <v>7104.0718333511031</v>
      </c>
    </row>
    <row r="20" spans="1:11" x14ac:dyDescent="0.2">
      <c r="A20" s="1" t="s">
        <v>24</v>
      </c>
      <c r="B20" s="3">
        <f>SUM(B9:B19)</f>
        <v>195379.45196643879</v>
      </c>
      <c r="C20" s="1" t="s">
        <v>25</v>
      </c>
      <c r="E20" s="3">
        <f>SUM(E9:E19)</f>
        <v>86572.635166329026</v>
      </c>
    </row>
    <row r="22" spans="1:11" x14ac:dyDescent="0.2">
      <c r="A22" s="1" t="s">
        <v>27</v>
      </c>
      <c r="B22" s="3">
        <f>B4</f>
        <v>500000</v>
      </c>
    </row>
    <row r="23" spans="1:11" x14ac:dyDescent="0.2">
      <c r="A23" s="1" t="s">
        <v>28</v>
      </c>
      <c r="B23" s="3">
        <f>E20</f>
        <v>86572.635166329026</v>
      </c>
    </row>
    <row r="24" spans="1:11" x14ac:dyDescent="0.2">
      <c r="A24" s="1" t="s">
        <v>26</v>
      </c>
      <c r="B24" s="3">
        <f>B4*(1+B6)^10</f>
        <v>671958.18967206089</v>
      </c>
    </row>
    <row r="26" spans="1:11" x14ac:dyDescent="0.2">
      <c r="A26" s="1" t="s">
        <v>29</v>
      </c>
      <c r="B26" s="3">
        <f>B24+B23-B22</f>
        <v>258530.82483838988</v>
      </c>
    </row>
    <row r="27" spans="1:11" ht="15" x14ac:dyDescent="0.25">
      <c r="C27"/>
    </row>
    <row r="31" spans="1:11" ht="26.2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6.2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6.2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6.2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6.2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26.2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26.2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6.25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6.25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31.5" x14ac:dyDescent="0.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26.25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</sheetData>
  <sheetProtection algorithmName="SHA-512" hashValue="jQ08kpwNgpVRy9cmpwJmCG09LpjXvltme4WpxP1n0Nsdry5MiWwZP4BMzkjwjLMBLAeSIRMr54ZQTu9lShsh5Q==" saltValue="XzUMKUFocXAmcw45opNkbw==" spinCount="100000" sheet="1" objects="1" scenarios="1"/>
  <mergeCells count="2">
    <mergeCell ref="A1:E1"/>
    <mergeCell ref="D3:G6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6AE33-E143-4122-BA57-AE96ED183BB9}">
  <dimension ref="A1:R49"/>
  <sheetViews>
    <sheetView workbookViewId="0">
      <selection activeCell="B20" sqref="B20"/>
    </sheetView>
  </sheetViews>
  <sheetFormatPr baseColWidth="10" defaultColWidth="13.28515625" defaultRowHeight="14.25" x14ac:dyDescent="0.2"/>
  <cols>
    <col min="1" max="1" width="40.28515625" style="1" customWidth="1"/>
    <col min="2" max="17" width="13.28515625" style="1"/>
    <col min="18" max="18" width="13.28515625" style="1" hidden="1" customWidth="1"/>
    <col min="19" max="16384" width="13.28515625" style="1"/>
  </cols>
  <sheetData>
    <row r="1" spans="1:18" ht="17.25" thickBot="1" x14ac:dyDescent="0.3">
      <c r="A1" s="21" t="s">
        <v>31</v>
      </c>
      <c r="B1" s="22"/>
      <c r="C1" s="22"/>
      <c r="D1" s="22"/>
      <c r="E1" s="23"/>
      <c r="R1" s="1" t="s">
        <v>50</v>
      </c>
    </row>
    <row r="2" spans="1:18" x14ac:dyDescent="0.2">
      <c r="R2" s="1" t="s">
        <v>51</v>
      </c>
    </row>
    <row r="3" spans="1:18" ht="15" customHeight="1" x14ac:dyDescent="0.2">
      <c r="A3" s="1" t="s">
        <v>1</v>
      </c>
      <c r="B3" s="6">
        <v>45214</v>
      </c>
      <c r="D3" s="24" t="str">
        <f>IF(B3&lt;DATE(2023,10,1),"Achtung: erhöhte Abschreibung ist erst ab Bauanzeige ab dem 01.10.2023 möglich !","")</f>
        <v/>
      </c>
      <c r="E3" s="24"/>
      <c r="F3" s="24"/>
      <c r="G3" s="24"/>
    </row>
    <row r="4" spans="1:18" x14ac:dyDescent="0.2">
      <c r="A4" s="1" t="s">
        <v>0</v>
      </c>
      <c r="B4" s="7">
        <v>600000</v>
      </c>
      <c r="D4" s="24"/>
      <c r="E4" s="24"/>
      <c r="F4" s="24"/>
      <c r="G4" s="24"/>
    </row>
    <row r="5" spans="1:18" x14ac:dyDescent="0.2">
      <c r="A5" s="1" t="s">
        <v>22</v>
      </c>
      <c r="B5" s="8">
        <v>0.47</v>
      </c>
      <c r="D5" s="24"/>
      <c r="E5" s="24"/>
      <c r="F5" s="24"/>
      <c r="G5" s="24"/>
    </row>
    <row r="6" spans="1:18" x14ac:dyDescent="0.2">
      <c r="A6" s="1" t="s">
        <v>23</v>
      </c>
      <c r="B6" s="8">
        <v>0.03</v>
      </c>
      <c r="D6" s="24"/>
      <c r="E6" s="24"/>
      <c r="F6" s="24"/>
      <c r="G6" s="24"/>
    </row>
    <row r="7" spans="1:18" ht="14.25" customHeight="1" x14ac:dyDescent="0.2">
      <c r="A7" s="1" t="s">
        <v>30</v>
      </c>
      <c r="B7" s="10">
        <v>1</v>
      </c>
      <c r="D7" s="9"/>
      <c r="E7" s="9"/>
      <c r="F7" s="9"/>
      <c r="G7" s="9"/>
      <c r="R7" s="1" t="str">
        <f>IF(AND(B8="ja",D9="",B11&lt;5200.01),"7b","")</f>
        <v>7b</v>
      </c>
    </row>
    <row r="8" spans="1:18" ht="14.25" customHeight="1" x14ac:dyDescent="0.2">
      <c r="A8" s="1" t="s">
        <v>49</v>
      </c>
      <c r="B8" s="13" t="s">
        <v>50</v>
      </c>
      <c r="D8" s="25" t="str">
        <f>IF(B8="nein","Achtung: Sonderafa nur für KfW-Effizienzhaus 40 mit QNG möglich !","")</f>
        <v/>
      </c>
      <c r="E8" s="25"/>
      <c r="F8" s="25"/>
      <c r="G8" s="25"/>
    </row>
    <row r="9" spans="1:18" ht="14.25" customHeight="1" x14ac:dyDescent="0.2">
      <c r="A9" s="1" t="s">
        <v>59</v>
      </c>
      <c r="B9" s="6">
        <v>44941</v>
      </c>
      <c r="D9" s="12"/>
      <c r="E9" s="12"/>
      <c r="F9" s="12"/>
      <c r="G9" s="12"/>
    </row>
    <row r="10" spans="1:18" ht="14.25" customHeight="1" x14ac:dyDescent="0.2">
      <c r="A10" s="1" t="s">
        <v>60</v>
      </c>
      <c r="B10" s="14">
        <v>120</v>
      </c>
      <c r="D10" s="12"/>
      <c r="E10" s="12"/>
      <c r="F10" s="12"/>
      <c r="G10" s="12"/>
    </row>
    <row r="11" spans="1:18" ht="14.25" customHeight="1" x14ac:dyDescent="0.2">
      <c r="A11" s="1" t="s">
        <v>52</v>
      </c>
      <c r="B11" s="3">
        <f>B4/B10</f>
        <v>5000</v>
      </c>
      <c r="D11" s="25" t="str">
        <f>IF(B11&gt;5200,"Achtung: Sonderafa nur bis 5200 €/qm möglich !","")</f>
        <v/>
      </c>
      <c r="E11" s="25"/>
      <c r="F11" s="25"/>
      <c r="G11" s="25"/>
    </row>
    <row r="12" spans="1:18" ht="14.25" customHeight="1" x14ac:dyDescent="0.2">
      <c r="B12" s="2"/>
    </row>
    <row r="13" spans="1:18" ht="14.25" customHeight="1" x14ac:dyDescent="0.2">
      <c r="A13" s="1" t="s">
        <v>53</v>
      </c>
      <c r="B13" s="3">
        <f>B4*0.05/12*(13-B7)</f>
        <v>30000</v>
      </c>
      <c r="C13" s="1" t="s">
        <v>12</v>
      </c>
      <c r="E13" s="3">
        <f>B13*$B$5</f>
        <v>14100</v>
      </c>
    </row>
    <row r="14" spans="1:18" ht="15" x14ac:dyDescent="0.25">
      <c r="A14" s="15" t="s">
        <v>57</v>
      </c>
      <c r="B14" s="3">
        <f>IF(R7="7b",MIN(B10*B11*0.05,B10*4000*0.05),0)</f>
        <v>24000</v>
      </c>
      <c r="E14" s="3">
        <f>B14*$B$5</f>
        <v>11280</v>
      </c>
    </row>
    <row r="15" spans="1:18" x14ac:dyDescent="0.2">
      <c r="A15" s="1" t="s">
        <v>54</v>
      </c>
      <c r="B15" s="3">
        <f>(B4-B13-B14)*0.05</f>
        <v>27300</v>
      </c>
      <c r="C15" s="1" t="s">
        <v>13</v>
      </c>
      <c r="E15" s="3">
        <f t="shared" ref="E15:E26" si="0">B15*$B$5</f>
        <v>12831</v>
      </c>
    </row>
    <row r="16" spans="1:18" ht="15" x14ac:dyDescent="0.25">
      <c r="A16" s="15" t="s">
        <v>58</v>
      </c>
      <c r="B16" s="3">
        <f>B14</f>
        <v>24000</v>
      </c>
      <c r="E16" s="3">
        <f t="shared" si="0"/>
        <v>11280</v>
      </c>
    </row>
    <row r="17" spans="1:5" x14ac:dyDescent="0.2">
      <c r="A17" s="1" t="s">
        <v>55</v>
      </c>
      <c r="B17" s="3">
        <f>(B4-B13-B15-B14-B16)*0.05</f>
        <v>24735</v>
      </c>
      <c r="C17" s="1" t="s">
        <v>14</v>
      </c>
      <c r="E17" s="3">
        <f t="shared" si="0"/>
        <v>11625.449999999999</v>
      </c>
    </row>
    <row r="18" spans="1:5" ht="15" x14ac:dyDescent="0.25">
      <c r="A18" s="15" t="s">
        <v>58</v>
      </c>
      <c r="B18" s="3">
        <f>B14</f>
        <v>24000</v>
      </c>
      <c r="E18" s="3">
        <f t="shared" si="0"/>
        <v>11280</v>
      </c>
    </row>
    <row r="19" spans="1:5" x14ac:dyDescent="0.2">
      <c r="A19" s="1" t="s">
        <v>56</v>
      </c>
      <c r="B19" s="3">
        <f>(B4-B13-B15-B17-B14-B16-B18)*0.05</f>
        <v>22298.25</v>
      </c>
      <c r="C19" s="1" t="s">
        <v>15</v>
      </c>
      <c r="E19" s="3">
        <f t="shared" si="0"/>
        <v>10480.1775</v>
      </c>
    </row>
    <row r="20" spans="1:5" ht="15" x14ac:dyDescent="0.25">
      <c r="A20" s="15" t="s">
        <v>57</v>
      </c>
      <c r="B20" s="3">
        <f>B14</f>
        <v>24000</v>
      </c>
      <c r="E20" s="3">
        <f t="shared" si="0"/>
        <v>11280</v>
      </c>
    </row>
    <row r="21" spans="1:5" x14ac:dyDescent="0.2">
      <c r="A21" s="1" t="s">
        <v>6</v>
      </c>
      <c r="B21" s="3">
        <f>(B4-B13-B15-B17-B19-B14-B16-B18-B20)*0.05</f>
        <v>19983.337500000001</v>
      </c>
      <c r="C21" s="1" t="s">
        <v>16</v>
      </c>
      <c r="E21" s="3">
        <f t="shared" si="0"/>
        <v>9392.1686250000002</v>
      </c>
    </row>
    <row r="22" spans="1:5" x14ac:dyDescent="0.2">
      <c r="A22" s="1" t="s">
        <v>7</v>
      </c>
      <c r="B22" s="3">
        <f>(B4-B13-B15-B17-B19-B21-B14-B16-B18-B20)*0.05</f>
        <v>18984.170624999999</v>
      </c>
      <c r="C22" s="1" t="s">
        <v>17</v>
      </c>
      <c r="E22" s="3">
        <f t="shared" si="0"/>
        <v>8922.5601937499996</v>
      </c>
    </row>
    <row r="23" spans="1:5" x14ac:dyDescent="0.2">
      <c r="A23" s="1" t="s">
        <v>8</v>
      </c>
      <c r="B23" s="3">
        <f>(B4-B13-B15-B17-B19-B21-B22-B14-B16-B18-B20)*0.05</f>
        <v>18034.962093749997</v>
      </c>
      <c r="C23" s="1" t="s">
        <v>18</v>
      </c>
      <c r="E23" s="3">
        <f t="shared" si="0"/>
        <v>8476.432184062498</v>
      </c>
    </row>
    <row r="24" spans="1:5" x14ac:dyDescent="0.2">
      <c r="A24" s="1" t="s">
        <v>9</v>
      </c>
      <c r="B24" s="3">
        <f>(B4-B13-B15-B17-B19-B21-B22-B23-B14-B16-B18-B20)*0.05</f>
        <v>17133.213989062497</v>
      </c>
      <c r="C24" s="1" t="s">
        <v>19</v>
      </c>
      <c r="E24" s="3">
        <f t="shared" si="0"/>
        <v>8052.6105748593727</v>
      </c>
    </row>
    <row r="25" spans="1:5" x14ac:dyDescent="0.2">
      <c r="A25" s="1" t="s">
        <v>10</v>
      </c>
      <c r="B25" s="3">
        <f>(B4-B13-B15-B17-B19-B21-B22-B23-B24-B14-B16-B18-B20)*0.05</f>
        <v>16276.553289609374</v>
      </c>
      <c r="C25" s="1" t="s">
        <v>20</v>
      </c>
      <c r="E25" s="3">
        <f t="shared" si="0"/>
        <v>7649.980046116405</v>
      </c>
    </row>
    <row r="26" spans="1:5" x14ac:dyDescent="0.2">
      <c r="A26" s="1" t="s">
        <v>11</v>
      </c>
      <c r="B26" s="3">
        <f>(B4-B13-B15-B17-B19-B21-B22-B23-B24-B25-B14-B16-B18-B20)*0.05</f>
        <v>15462.725625128905</v>
      </c>
      <c r="C26" s="1" t="s">
        <v>21</v>
      </c>
      <c r="E26" s="3">
        <f t="shared" si="0"/>
        <v>7267.4810438105851</v>
      </c>
    </row>
    <row r="28" spans="1:5" x14ac:dyDescent="0.2">
      <c r="A28" s="1" t="s">
        <v>24</v>
      </c>
      <c r="B28" s="3">
        <f>SUM(B13:B27)</f>
        <v>306208.21312255075</v>
      </c>
      <c r="C28" s="1" t="s">
        <v>25</v>
      </c>
      <c r="E28" s="3">
        <f>SUM(E13:E27)</f>
        <v>143917.86016759885</v>
      </c>
    </row>
    <row r="30" spans="1:5" x14ac:dyDescent="0.2">
      <c r="A30" s="1" t="s">
        <v>27</v>
      </c>
      <c r="B30" s="3">
        <f>B4</f>
        <v>600000</v>
      </c>
    </row>
    <row r="31" spans="1:5" x14ac:dyDescent="0.2">
      <c r="A31" s="1" t="s">
        <v>28</v>
      </c>
      <c r="B31" s="3">
        <f>E28</f>
        <v>143917.86016759885</v>
      </c>
    </row>
    <row r="32" spans="1:5" x14ac:dyDescent="0.2">
      <c r="A32" s="1" t="s">
        <v>26</v>
      </c>
      <c r="B32" s="3">
        <f>B4*(1+B6)^10</f>
        <v>806349.82760647312</v>
      </c>
    </row>
    <row r="34" spans="1:11" x14ac:dyDescent="0.2">
      <c r="A34" s="1" t="s">
        <v>29</v>
      </c>
      <c r="B34" s="3">
        <f>B32+B31-B30</f>
        <v>350267.68777407194</v>
      </c>
    </row>
    <row r="35" spans="1:11" ht="15" x14ac:dyDescent="0.25">
      <c r="C35"/>
    </row>
    <row r="39" spans="1:11" ht="26.25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6.25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26.25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26.25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6.25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6.25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6.25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26.25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26.25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31.5" x14ac:dyDescent="0.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26.25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</sheetData>
  <sheetProtection algorithmName="SHA-512" hashValue="ihu1eunL3pt2BQ9bxT4birQMKlfW3lhaVkdUR6vwzrHEcZLMELgqzIoDBpqelY/6COFLa9Ig3Zhdgr9hUamUjg==" saltValue="sIBGuWvbiC3jt/ezMIjZRw==" spinCount="100000" sheet="1" objects="1" scenarios="1"/>
  <mergeCells count="4">
    <mergeCell ref="A1:E1"/>
    <mergeCell ref="D3:G6"/>
    <mergeCell ref="D8:G8"/>
    <mergeCell ref="D11:G11"/>
  </mergeCells>
  <dataValidations count="3">
    <dataValidation type="list" allowBlank="1" showInputMessage="1" showErrorMessage="1" sqref="B8" xr:uid="{140D7A6A-BF4E-492A-890F-C73CF0CB1D23}">
      <formula1>$R$1:$R$2</formula1>
    </dataValidation>
    <dataValidation type="date" errorStyle="information" allowBlank="1" showInputMessage="1" showErrorMessage="1" errorTitle="Zeitliche Beschränkung" error="Achtung: Sonderabschreibung nur bei Bauantrag zwischen dem 01.01.2023 und dem 30.09.2029 möglich !" sqref="B9" xr:uid="{D03500E6-A297-4580-B7E4-A801983F8D4E}">
      <formula1>44927</formula1>
      <formula2>47391</formula2>
    </dataValidation>
    <dataValidation errorStyle="information" allowBlank="1" showInputMessage="1" showErrorMessage="1" errorTitle="Zeitliche Beschränkung" error="Achtung: Sonderabschreibung nur bei Bauantrag zwischen dem 01.01.2023 und dem 30.09.2029 möglich !" sqref="B10" xr:uid="{531B749C-3FAB-4BA9-8DD8-7525BFD5EDD0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2899-7B90-4825-BEB8-C2CB13A04FAE}">
  <dimension ref="A1:G28"/>
  <sheetViews>
    <sheetView workbookViewId="0">
      <selection activeCell="A13" sqref="A13"/>
    </sheetView>
  </sheetViews>
  <sheetFormatPr baseColWidth="10" defaultRowHeight="15" x14ac:dyDescent="0.25"/>
  <cols>
    <col min="1" max="1" width="64.85546875" style="11" customWidth="1"/>
    <col min="2" max="2" width="11.42578125" style="11" customWidth="1"/>
    <col min="3" max="3" width="11.42578125" style="11"/>
    <col min="4" max="4" width="18.7109375" style="11" customWidth="1"/>
    <col min="5" max="16384" width="11.42578125" style="11"/>
  </cols>
  <sheetData>
    <row r="1" spans="1:7" ht="17.25" thickBot="1" x14ac:dyDescent="0.3">
      <c r="A1" s="21" t="s">
        <v>32</v>
      </c>
      <c r="B1" s="22"/>
      <c r="C1" s="22"/>
      <c r="D1" s="22"/>
      <c r="E1" s="23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 t="s">
        <v>33</v>
      </c>
      <c r="B3" s="10">
        <v>2024</v>
      </c>
      <c r="C3" s="1"/>
      <c r="D3" s="24"/>
      <c r="E3" s="24"/>
      <c r="F3" s="24"/>
      <c r="G3" s="24"/>
    </row>
    <row r="4" spans="1:7" x14ac:dyDescent="0.25">
      <c r="A4" s="1" t="s">
        <v>34</v>
      </c>
      <c r="B4" s="7">
        <v>100000</v>
      </c>
      <c r="C4" s="1"/>
      <c r="D4" s="24"/>
      <c r="E4" s="24"/>
      <c r="F4" s="24"/>
      <c r="G4" s="24"/>
    </row>
    <row r="5" spans="1:7" x14ac:dyDescent="0.25">
      <c r="A5" s="1" t="s">
        <v>22</v>
      </c>
      <c r="B5" s="8">
        <v>0.44309999999999999</v>
      </c>
      <c r="C5" s="1"/>
      <c r="D5" s="24"/>
      <c r="E5" s="24"/>
      <c r="F5" s="24"/>
      <c r="G5" s="24"/>
    </row>
    <row r="6" spans="1:7" x14ac:dyDescent="0.25">
      <c r="A6" s="1" t="s">
        <v>36</v>
      </c>
      <c r="B6" s="10">
        <v>10</v>
      </c>
      <c r="C6" s="1"/>
      <c r="D6" s="9"/>
      <c r="E6" s="9"/>
      <c r="F6" s="9"/>
      <c r="G6" s="9"/>
    </row>
    <row r="7" spans="1:7" x14ac:dyDescent="0.25">
      <c r="A7" s="1" t="s">
        <v>30</v>
      </c>
      <c r="B7" s="10">
        <v>1</v>
      </c>
      <c r="C7" s="1"/>
      <c r="D7" s="9"/>
      <c r="E7" s="9"/>
      <c r="F7" s="9"/>
      <c r="G7" s="9"/>
    </row>
    <row r="8" spans="1:7" x14ac:dyDescent="0.25">
      <c r="A8" s="1"/>
      <c r="B8" s="2"/>
      <c r="C8" s="1"/>
      <c r="D8" s="1"/>
      <c r="E8" s="1"/>
      <c r="F8" s="1"/>
      <c r="G8" s="1"/>
    </row>
    <row r="9" spans="1:7" x14ac:dyDescent="0.25">
      <c r="A9" s="1" t="s">
        <v>40</v>
      </c>
      <c r="B9" s="3">
        <f>MIN(B4/2,200000)</f>
        <v>50000</v>
      </c>
      <c r="C9" s="1" t="s">
        <v>41</v>
      </c>
      <c r="D9" s="1"/>
      <c r="E9" s="3">
        <f>B9*$B$5</f>
        <v>22155</v>
      </c>
      <c r="F9" s="1"/>
      <c r="G9" s="1"/>
    </row>
    <row r="10" spans="1:7" x14ac:dyDescent="0.25">
      <c r="A10" s="1" t="s">
        <v>35</v>
      </c>
      <c r="B10" s="3">
        <f>IF(B3&gt;2023,(B4-B9)*0.4,(B4-B9)/5)</f>
        <v>20000</v>
      </c>
      <c r="C10" s="1" t="s">
        <v>42</v>
      </c>
      <c r="D10" s="1"/>
      <c r="E10" s="3">
        <f t="shared" ref="E10:E12" si="0">B10*$B$5</f>
        <v>8862</v>
      </c>
      <c r="F10" s="1"/>
      <c r="G10" s="1"/>
    </row>
    <row r="11" spans="1:7" x14ac:dyDescent="0.25">
      <c r="A11" s="1" t="s">
        <v>37</v>
      </c>
      <c r="B11" s="3">
        <f>(B4-B9)/B6/12*(13-B7)</f>
        <v>5000</v>
      </c>
      <c r="C11" s="1" t="s">
        <v>44</v>
      </c>
      <c r="D11" s="1"/>
      <c r="E11" s="3">
        <f t="shared" si="0"/>
        <v>2215.5</v>
      </c>
      <c r="F11" s="1"/>
      <c r="G11" s="1"/>
    </row>
    <row r="12" spans="1:7" x14ac:dyDescent="0.25">
      <c r="A12" s="1" t="s">
        <v>38</v>
      </c>
      <c r="B12" s="3">
        <f>MIN((B4-B9)/B6*2,(B4-B9)/5)/12*(13-B7)</f>
        <v>10000</v>
      </c>
      <c r="C12" s="1" t="s">
        <v>43</v>
      </c>
      <c r="D12" s="1"/>
      <c r="E12" s="3">
        <f t="shared" si="0"/>
        <v>4431</v>
      </c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 t="s">
        <v>24</v>
      </c>
      <c r="B14" s="3">
        <f>MAX(B9+B10+B11,B9+B10+B12)</f>
        <v>80000</v>
      </c>
      <c r="C14" s="1" t="s">
        <v>25</v>
      </c>
      <c r="D14" s="1"/>
      <c r="E14" s="3">
        <f>B14*B5</f>
        <v>35448</v>
      </c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27</v>
      </c>
      <c r="B16" s="3">
        <f>B4</f>
        <v>100000</v>
      </c>
      <c r="C16" s="1"/>
      <c r="D16" s="1"/>
      <c r="E16" s="1"/>
      <c r="F16" s="1"/>
      <c r="G16" s="1"/>
    </row>
    <row r="17" spans="1:7" x14ac:dyDescent="0.25">
      <c r="A17" s="1" t="s">
        <v>39</v>
      </c>
      <c r="B17" s="3">
        <f>E14</f>
        <v>35448</v>
      </c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ht="26.25" x14ac:dyDescent="0.4">
      <c r="A21" s="4"/>
      <c r="B21" s="4"/>
      <c r="C21" s="4"/>
      <c r="D21" s="4"/>
      <c r="E21" s="4"/>
      <c r="F21" s="4"/>
      <c r="G21" s="4"/>
    </row>
    <row r="22" spans="1:7" ht="26.25" x14ac:dyDescent="0.4">
      <c r="A22" s="4"/>
      <c r="B22" s="4"/>
      <c r="C22" s="4"/>
      <c r="D22" s="4"/>
      <c r="E22" s="4"/>
      <c r="F22" s="4"/>
      <c r="G22" s="4"/>
    </row>
    <row r="23" spans="1:7" ht="26.25" x14ac:dyDescent="0.4">
      <c r="A23" s="4"/>
      <c r="B23" s="4"/>
      <c r="C23" s="4"/>
      <c r="D23" s="4"/>
      <c r="E23" s="4"/>
      <c r="F23" s="4"/>
      <c r="G23" s="4"/>
    </row>
    <row r="24" spans="1:7" ht="26.25" x14ac:dyDescent="0.4">
      <c r="A24" s="4"/>
      <c r="B24" s="4"/>
      <c r="C24" s="4"/>
      <c r="D24" s="4"/>
      <c r="E24" s="4"/>
      <c r="F24" s="4"/>
      <c r="G24" s="4"/>
    </row>
    <row r="25" spans="1:7" ht="26.25" x14ac:dyDescent="0.4">
      <c r="A25" s="4"/>
      <c r="B25" s="4"/>
      <c r="C25" s="4"/>
      <c r="D25" s="4"/>
      <c r="E25" s="4"/>
      <c r="F25" s="4"/>
      <c r="G25" s="4"/>
    </row>
    <row r="26" spans="1:7" ht="26.25" x14ac:dyDescent="0.4">
      <c r="A26" s="4"/>
      <c r="B26" s="4"/>
      <c r="C26" s="4"/>
      <c r="D26" s="4"/>
      <c r="E26" s="4"/>
      <c r="F26" s="4"/>
      <c r="G26" s="4"/>
    </row>
    <row r="27" spans="1:7" ht="26.25" x14ac:dyDescent="0.4">
      <c r="A27" s="4"/>
      <c r="B27" s="4"/>
      <c r="C27" s="4"/>
      <c r="D27" s="4"/>
      <c r="E27" s="4"/>
      <c r="F27" s="4"/>
      <c r="G27" s="4"/>
    </row>
    <row r="28" spans="1:7" ht="26.25" x14ac:dyDescent="0.4">
      <c r="A28" s="4"/>
      <c r="B28" s="4"/>
      <c r="C28" s="4"/>
      <c r="D28" s="4"/>
      <c r="E28" s="4"/>
      <c r="F28" s="4"/>
      <c r="G28" s="4"/>
    </row>
  </sheetData>
  <sheetProtection algorithmName="SHA-512" hashValue="2Eol8C//ToVvoyruILWjvmcflfaukwHmy6tUwDhXdAxtSOdl+V0OalaNoJyXROEhvQBGwkucKP+4YoBn8R9C+A==" saltValue="HiQib3TIXfLco+VWuV+W3Q==" spinCount="100000" sheet="1" objects="1" scenarios="1"/>
  <mergeCells count="2">
    <mergeCell ref="A1:E1"/>
    <mergeCell ref="D3:G5"/>
  </mergeCells>
  <pageMargins left="0.7" right="0.7" top="0.78740157499999996" bottom="0.78740157499999996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9E47A-E65E-4339-96E2-DFDDC9185371}">
  <dimension ref="A1:G22"/>
  <sheetViews>
    <sheetView workbookViewId="0">
      <selection activeCell="A7" sqref="A7"/>
    </sheetView>
  </sheetViews>
  <sheetFormatPr baseColWidth="10" defaultRowHeight="15" x14ac:dyDescent="0.25"/>
  <cols>
    <col min="1" max="1" width="64.85546875" style="11" customWidth="1"/>
    <col min="2" max="2" width="11.42578125" style="11" customWidth="1"/>
    <col min="3" max="3" width="11.42578125" style="11"/>
    <col min="4" max="4" width="18.7109375" style="11" customWidth="1"/>
    <col min="5" max="16384" width="11.42578125" style="11"/>
  </cols>
  <sheetData>
    <row r="1" spans="1:7" ht="17.25" thickBot="1" x14ac:dyDescent="0.3">
      <c r="A1" s="21" t="s">
        <v>48</v>
      </c>
      <c r="B1" s="22"/>
      <c r="C1" s="22"/>
      <c r="D1" s="22"/>
      <c r="E1" s="23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 t="s">
        <v>45</v>
      </c>
      <c r="B3" s="6">
        <v>45397</v>
      </c>
      <c r="C3" s="1"/>
      <c r="D3" s="24"/>
      <c r="E3" s="24"/>
      <c r="F3" s="24"/>
      <c r="G3" s="24"/>
    </row>
    <row r="4" spans="1:7" x14ac:dyDescent="0.25">
      <c r="A4" s="1" t="s">
        <v>34</v>
      </c>
      <c r="B4" s="7">
        <v>100000</v>
      </c>
      <c r="C4" s="1"/>
      <c r="D4" s="24"/>
      <c r="E4" s="24"/>
      <c r="F4" s="24"/>
      <c r="G4" s="24"/>
    </row>
    <row r="5" spans="1:7" x14ac:dyDescent="0.25">
      <c r="A5" s="1" t="s">
        <v>22</v>
      </c>
      <c r="B5" s="8">
        <v>0.44309999999999999</v>
      </c>
      <c r="C5" s="1"/>
      <c r="D5" s="24"/>
      <c r="E5" s="24"/>
      <c r="F5" s="24"/>
      <c r="G5" s="24"/>
    </row>
    <row r="6" spans="1:7" x14ac:dyDescent="0.25">
      <c r="A6" s="1" t="s">
        <v>36</v>
      </c>
      <c r="B6" s="10">
        <v>10</v>
      </c>
      <c r="C6" s="1"/>
      <c r="D6" s="9"/>
      <c r="E6" s="9"/>
      <c r="F6" s="9"/>
      <c r="G6" s="9"/>
    </row>
    <row r="7" spans="1:7" x14ac:dyDescent="0.25">
      <c r="A7" s="1" t="s">
        <v>30</v>
      </c>
      <c r="B7" s="10">
        <f>MONTH(B3)</f>
        <v>4</v>
      </c>
      <c r="C7" s="1"/>
      <c r="D7" s="9"/>
      <c r="E7" s="9"/>
      <c r="F7" s="9"/>
      <c r="G7" s="9"/>
    </row>
    <row r="8" spans="1:7" x14ac:dyDescent="0.25">
      <c r="A8" s="1"/>
      <c r="B8" s="2"/>
      <c r="C8" s="1"/>
      <c r="D8" s="1"/>
      <c r="E8" s="1"/>
      <c r="F8" s="1"/>
      <c r="G8" s="1"/>
    </row>
    <row r="9" spans="1:7" x14ac:dyDescent="0.25">
      <c r="A9" s="1" t="s">
        <v>37</v>
      </c>
      <c r="B9" s="3">
        <f>(B4)/B6/12*(13-B7)</f>
        <v>7500</v>
      </c>
      <c r="C9" s="1" t="s">
        <v>44</v>
      </c>
      <c r="D9" s="1"/>
      <c r="E9" s="3">
        <f t="shared" ref="E9:E10" si="0">B9*$B$5</f>
        <v>3323.25</v>
      </c>
      <c r="F9" s="1"/>
      <c r="G9" s="1"/>
    </row>
    <row r="10" spans="1:7" x14ac:dyDescent="0.25">
      <c r="A10" s="1" t="s">
        <v>38</v>
      </c>
      <c r="B10" s="3">
        <f>MIN((B4)/B6*2,(B4)/5)/12*(13-B7)</f>
        <v>15000</v>
      </c>
      <c r="C10" s="1" t="s">
        <v>43</v>
      </c>
      <c r="D10" s="1"/>
      <c r="E10" s="3">
        <f t="shared" si="0"/>
        <v>6646.5</v>
      </c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 t="s">
        <v>46</v>
      </c>
      <c r="B12" s="3">
        <f>(B4)/B6</f>
        <v>10000</v>
      </c>
      <c r="C12" s="1" t="s">
        <v>44</v>
      </c>
      <c r="D12" s="1"/>
      <c r="E12" s="3">
        <f t="shared" ref="E12:E13" si="1">B12*$B$5</f>
        <v>4431</v>
      </c>
      <c r="F12" s="1"/>
      <c r="G12" s="1"/>
    </row>
    <row r="13" spans="1:7" x14ac:dyDescent="0.25">
      <c r="A13" s="1" t="s">
        <v>47</v>
      </c>
      <c r="B13" s="3">
        <f>MIN((B4-B10)/B6*2,(B4-B10)/5)</f>
        <v>17000</v>
      </c>
      <c r="C13" s="1" t="s">
        <v>43</v>
      </c>
      <c r="D13" s="1"/>
      <c r="E13" s="3">
        <f t="shared" si="1"/>
        <v>7532.7</v>
      </c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26.25" x14ac:dyDescent="0.4">
      <c r="A15" s="4"/>
      <c r="B15" s="4"/>
      <c r="C15" s="4"/>
      <c r="D15" s="4"/>
      <c r="E15" s="4"/>
      <c r="F15" s="4"/>
      <c r="G15" s="4"/>
    </row>
    <row r="16" spans="1:7" ht="26.25" x14ac:dyDescent="0.4">
      <c r="A16" s="4"/>
      <c r="B16" s="4"/>
      <c r="C16" s="4"/>
      <c r="D16" s="4"/>
      <c r="E16" s="4"/>
      <c r="F16" s="4"/>
      <c r="G16" s="4"/>
    </row>
    <row r="17" spans="1:7" ht="26.25" x14ac:dyDescent="0.4">
      <c r="A17" s="4"/>
      <c r="B17" s="4"/>
      <c r="C17" s="4"/>
      <c r="D17" s="4"/>
      <c r="E17" s="4"/>
      <c r="F17" s="4"/>
      <c r="G17" s="4"/>
    </row>
    <row r="18" spans="1:7" ht="26.25" x14ac:dyDescent="0.4">
      <c r="A18" s="4"/>
      <c r="B18" s="4"/>
      <c r="C18" s="4"/>
      <c r="D18" s="4"/>
      <c r="E18" s="4"/>
      <c r="F18" s="4"/>
      <c r="G18" s="4"/>
    </row>
    <row r="19" spans="1:7" ht="26.25" x14ac:dyDescent="0.4">
      <c r="A19" s="4"/>
      <c r="B19" s="4"/>
      <c r="C19" s="4"/>
      <c r="D19" s="4"/>
      <c r="E19" s="4"/>
      <c r="F19" s="4"/>
      <c r="G19" s="4"/>
    </row>
    <row r="20" spans="1:7" ht="26.25" x14ac:dyDescent="0.4">
      <c r="A20" s="4"/>
      <c r="B20" s="4"/>
      <c r="C20" s="4"/>
      <c r="D20" s="4"/>
      <c r="E20" s="4"/>
      <c r="F20" s="4"/>
      <c r="G20" s="4"/>
    </row>
    <row r="21" spans="1:7" ht="26.25" x14ac:dyDescent="0.4">
      <c r="A21" s="4"/>
      <c r="B21" s="4"/>
      <c r="C21" s="4"/>
      <c r="D21" s="4"/>
      <c r="E21" s="4"/>
      <c r="F21" s="4"/>
      <c r="G21" s="4"/>
    </row>
    <row r="22" spans="1:7" ht="26.25" x14ac:dyDescent="0.4">
      <c r="A22" s="4"/>
      <c r="B22" s="4"/>
      <c r="C22" s="4"/>
      <c r="D22" s="4"/>
      <c r="E22" s="4"/>
      <c r="F22" s="4"/>
      <c r="G22" s="4"/>
    </row>
  </sheetData>
  <sheetProtection algorithmName="SHA-512" hashValue="VpXu6EMsfCoHAqqdiqgaSNx0pEa/bXB3ILKsisY6ivDki0+PKjwvvDIspUIsrx1WOjG9ikzs4YIGi60nyfFfOg==" saltValue="nse2iemrdSIqm0EMLy7oNg==" spinCount="100000" sheet="1" objects="1" scenarios="1"/>
  <mergeCells count="2">
    <mergeCell ref="A1:E1"/>
    <mergeCell ref="D3:G5"/>
  </mergeCells>
  <dataValidations count="1">
    <dataValidation type="date" errorStyle="information" allowBlank="1" showInputMessage="1" showErrorMessage="1" errorTitle="zeitliche Beschränkung" error="Achtung: Die degressive AfA in der Fassung des Wachstumschancengesetzes kann nur für Anschaffungen in der Zeit vom 01. April 2024 bis zum 31.Dezember 2024 in Anspruch genommen werden." sqref="B3" xr:uid="{01F70BBD-105B-4664-A424-0D367855C159}">
      <formula1>45383</formula1>
      <formula2>45657</formula2>
    </dataValidation>
  </dataValidation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8D6AF-4928-4A85-B917-3B7B0E93EBF5}">
  <dimension ref="A1:K35"/>
  <sheetViews>
    <sheetView tabSelected="1" workbookViewId="0">
      <selection activeCell="B5" sqref="B5"/>
    </sheetView>
  </sheetViews>
  <sheetFormatPr baseColWidth="10" defaultRowHeight="15" x14ac:dyDescent="0.25"/>
  <cols>
    <col min="1" max="1" width="64.85546875" style="11" customWidth="1"/>
    <col min="2" max="2" width="15.42578125" style="11" customWidth="1"/>
    <col min="3" max="3" width="11.42578125" style="11"/>
    <col min="4" max="4" width="18.7109375" style="11" customWidth="1"/>
    <col min="5" max="6" width="11.42578125" style="11"/>
    <col min="7" max="7" width="23" style="11" customWidth="1"/>
    <col min="8" max="10" width="11.42578125" style="11"/>
    <col min="11" max="11" width="0" style="11" hidden="1" customWidth="1"/>
    <col min="12" max="16384" width="11.42578125" style="11"/>
  </cols>
  <sheetData>
    <row r="1" spans="1:11" ht="17.25" thickBot="1" x14ac:dyDescent="0.3">
      <c r="A1" s="21" t="s">
        <v>77</v>
      </c>
      <c r="B1" s="22"/>
      <c r="C1" s="22"/>
      <c r="D1" s="22"/>
      <c r="E1" s="23"/>
      <c r="F1" s="1"/>
      <c r="G1" s="1"/>
    </row>
    <row r="2" spans="1:11" x14ac:dyDescent="0.25">
      <c r="A2" s="1"/>
      <c r="B2" s="1"/>
      <c r="C2" s="1"/>
      <c r="D2" s="1"/>
      <c r="E2" s="1"/>
      <c r="F2" s="1"/>
      <c r="G2" s="1"/>
    </row>
    <row r="3" spans="1:11" x14ac:dyDescent="0.25">
      <c r="A3" s="1" t="s">
        <v>61</v>
      </c>
      <c r="B3" s="16">
        <v>100000</v>
      </c>
      <c r="C3" s="1"/>
      <c r="D3" s="24"/>
      <c r="E3" s="24"/>
      <c r="F3" s="24"/>
      <c r="G3" s="24"/>
    </row>
    <row r="4" spans="1:11" x14ac:dyDescent="0.25">
      <c r="A4" s="1" t="s">
        <v>62</v>
      </c>
      <c r="B4" s="8">
        <v>4</v>
      </c>
      <c r="C4" s="1"/>
      <c r="D4" s="24"/>
      <c r="E4" s="24"/>
      <c r="F4" s="24"/>
      <c r="G4" s="24"/>
    </row>
    <row r="5" spans="1:11" x14ac:dyDescent="0.25">
      <c r="A5" s="1" t="s">
        <v>71</v>
      </c>
      <c r="B5" s="8">
        <v>0.45</v>
      </c>
      <c r="C5" s="1"/>
      <c r="D5" s="24"/>
      <c r="E5" s="24"/>
      <c r="F5" s="24"/>
      <c r="G5" s="24"/>
    </row>
    <row r="6" spans="1:11" x14ac:dyDescent="0.25">
      <c r="A6" s="1"/>
      <c r="B6" s="2"/>
      <c r="C6" s="1"/>
      <c r="D6" s="9"/>
      <c r="E6" s="9"/>
      <c r="F6" s="9"/>
      <c r="G6" s="9"/>
    </row>
    <row r="7" spans="1:11" x14ac:dyDescent="0.25">
      <c r="A7" s="1"/>
      <c r="B7" s="2" t="s">
        <v>65</v>
      </c>
      <c r="C7" s="1"/>
      <c r="D7" s="2" t="s">
        <v>66</v>
      </c>
      <c r="E7" s="9"/>
      <c r="F7" s="9"/>
      <c r="G7" s="9"/>
    </row>
    <row r="8" spans="1:11" x14ac:dyDescent="0.25">
      <c r="A8" s="1"/>
      <c r="B8" s="2"/>
      <c r="C8" s="1"/>
      <c r="D8" s="18">
        <v>1</v>
      </c>
      <c r="E8" s="9"/>
      <c r="F8" s="9"/>
      <c r="G8" s="9"/>
    </row>
    <row r="9" spans="1:11" x14ac:dyDescent="0.25">
      <c r="A9" s="1" t="s">
        <v>63</v>
      </c>
      <c r="B9" s="17">
        <f>B3</f>
        <v>100000</v>
      </c>
      <c r="C9" s="1"/>
      <c r="D9" s="17">
        <f>B9</f>
        <v>100000</v>
      </c>
      <c r="E9" s="9"/>
      <c r="F9" s="9"/>
      <c r="G9" s="9"/>
    </row>
    <row r="10" spans="1:11" x14ac:dyDescent="0.25">
      <c r="A10" s="1" t="s">
        <v>64</v>
      </c>
      <c r="B10" s="3">
        <f>(B3-24500)*0.035*B4</f>
        <v>10570.000000000002</v>
      </c>
      <c r="C10" s="1"/>
      <c r="D10" s="3">
        <f>B10</f>
        <v>10570.000000000002</v>
      </c>
      <c r="E10" s="9"/>
      <c r="F10" s="9"/>
      <c r="G10" s="9"/>
    </row>
    <row r="11" spans="1:11" x14ac:dyDescent="0.25">
      <c r="A11" s="1" t="s">
        <v>67</v>
      </c>
      <c r="B11" s="3">
        <f>B3*B5-MIN(B10,(B3-24500)*0.035*4)</f>
        <v>34430</v>
      </c>
      <c r="C11" s="1"/>
      <c r="D11" s="3">
        <f>D9*0.2825-MIN(B10,(B3-24500)*0.035*4)</f>
        <v>17679.999999999993</v>
      </c>
      <c r="E11" s="9"/>
      <c r="F11" s="9"/>
      <c r="G11" s="9"/>
    </row>
    <row r="12" spans="1:11" x14ac:dyDescent="0.25">
      <c r="A12" s="1" t="s">
        <v>76</v>
      </c>
      <c r="B12" s="3">
        <f>B11*0.055</f>
        <v>1893.65</v>
      </c>
      <c r="C12" s="1"/>
      <c r="D12" s="3">
        <f>D11*0.055</f>
        <v>972.39999999999964</v>
      </c>
      <c r="E12" s="9"/>
      <c r="F12" s="9"/>
      <c r="G12" s="9"/>
    </row>
    <row r="13" spans="1:11" x14ac:dyDescent="0.25">
      <c r="A13" s="1" t="s">
        <v>72</v>
      </c>
      <c r="B13" s="3">
        <f>B10+B11+B12</f>
        <v>46893.65</v>
      </c>
      <c r="C13" s="1"/>
      <c r="D13" s="3">
        <f>D10+D11+D12</f>
        <v>29222.399999999994</v>
      </c>
      <c r="E13" s="9"/>
      <c r="F13" s="9"/>
      <c r="G13" s="9"/>
    </row>
    <row r="14" spans="1:11" ht="16.5" customHeight="1" x14ac:dyDescent="0.25">
      <c r="A14" s="1" t="s">
        <v>70</v>
      </c>
      <c r="B14" s="3">
        <f>B9-B13</f>
        <v>53106.35</v>
      </c>
      <c r="C14" s="1"/>
      <c r="D14" s="3">
        <f>D9-D13</f>
        <v>70777.600000000006</v>
      </c>
      <c r="E14" s="9"/>
      <c r="F14" s="19">
        <f>D14-B14</f>
        <v>17671.250000000007</v>
      </c>
      <c r="G14" s="9" t="s">
        <v>73</v>
      </c>
      <c r="K14" s="11">
        <f>0.2825*1.055</f>
        <v>0.29803749999999996</v>
      </c>
    </row>
    <row r="15" spans="1:11" x14ac:dyDescent="0.25">
      <c r="A15" s="1" t="s">
        <v>68</v>
      </c>
      <c r="B15" s="3">
        <v>0</v>
      </c>
      <c r="C15" s="1"/>
      <c r="D15" s="3">
        <f>D9*0.7019625*0.25</f>
        <v>17549.0625</v>
      </c>
      <c r="E15" s="9"/>
      <c r="F15" s="9"/>
      <c r="G15" s="9"/>
      <c r="K15" s="11">
        <f>1-K14</f>
        <v>0.70196250000000004</v>
      </c>
    </row>
    <row r="16" spans="1:11" x14ac:dyDescent="0.25">
      <c r="A16" s="1" t="s">
        <v>76</v>
      </c>
      <c r="B16" s="3"/>
      <c r="C16" s="1"/>
      <c r="D16" s="3">
        <f>D15*0.055</f>
        <v>965.19843749999995</v>
      </c>
      <c r="E16" s="9"/>
      <c r="F16" s="9"/>
      <c r="G16" s="9"/>
    </row>
    <row r="17" spans="1:7" x14ac:dyDescent="0.25">
      <c r="A17" s="1" t="s">
        <v>69</v>
      </c>
      <c r="B17" s="3">
        <f>B14-B15</f>
        <v>53106.35</v>
      </c>
      <c r="C17" s="1"/>
      <c r="D17" s="3">
        <f>D14-D15-D16</f>
        <v>52263.339062500003</v>
      </c>
      <c r="E17" s="9"/>
      <c r="F17" s="19">
        <f>D17-B17</f>
        <v>-843.01093749999563</v>
      </c>
      <c r="G17" s="9" t="s">
        <v>74</v>
      </c>
    </row>
    <row r="18" spans="1:7" x14ac:dyDescent="0.25">
      <c r="B18" s="1"/>
      <c r="C18" s="1"/>
      <c r="D18" s="9"/>
      <c r="E18" s="9"/>
      <c r="F18" s="9"/>
      <c r="G18" s="9"/>
    </row>
    <row r="19" spans="1:7" x14ac:dyDescent="0.25">
      <c r="B19" s="1"/>
      <c r="C19" s="1"/>
      <c r="D19" s="9"/>
      <c r="E19" s="9"/>
      <c r="F19" s="9"/>
      <c r="G19" s="9"/>
    </row>
    <row r="20" spans="1:7" x14ac:dyDescent="0.25">
      <c r="B20" s="1"/>
      <c r="C20" s="1"/>
      <c r="D20" s="18" t="s">
        <v>75</v>
      </c>
      <c r="E20" s="9"/>
      <c r="F20" s="9"/>
      <c r="G20" s="9"/>
    </row>
    <row r="21" spans="1:7" x14ac:dyDescent="0.25">
      <c r="A21" s="1" t="s">
        <v>63</v>
      </c>
      <c r="B21" s="17">
        <f>B9</f>
        <v>100000</v>
      </c>
      <c r="C21" s="1"/>
      <c r="D21" s="17">
        <f>B21</f>
        <v>100000</v>
      </c>
      <c r="E21" s="9"/>
      <c r="F21" s="9"/>
      <c r="G21" s="9"/>
    </row>
    <row r="22" spans="1:7" x14ac:dyDescent="0.25">
      <c r="A22" s="1" t="s">
        <v>64</v>
      </c>
      <c r="B22" s="17">
        <f>B10</f>
        <v>10570.000000000002</v>
      </c>
      <c r="C22" s="1"/>
      <c r="D22" s="3">
        <f>B22</f>
        <v>10570.000000000002</v>
      </c>
      <c r="E22" s="9"/>
      <c r="F22" s="9"/>
      <c r="G22" s="9"/>
    </row>
    <row r="23" spans="1:7" x14ac:dyDescent="0.25">
      <c r="A23" s="1" t="s">
        <v>67</v>
      </c>
      <c r="B23" s="17">
        <f>B11</f>
        <v>34430</v>
      </c>
      <c r="C23" s="1"/>
      <c r="D23" s="3">
        <f>D22*0.2825+(D21-D22)*B5-MIN(B10,(B3-24500)*0.035*4)</f>
        <v>32659.525000000001</v>
      </c>
      <c r="E23" s="9"/>
      <c r="F23" s="9"/>
      <c r="G23" s="9"/>
    </row>
    <row r="24" spans="1:7" x14ac:dyDescent="0.25">
      <c r="A24" s="1" t="s">
        <v>76</v>
      </c>
      <c r="B24" s="17">
        <f t="shared" ref="B24:B28" si="0">B12</f>
        <v>1893.65</v>
      </c>
      <c r="C24" s="1"/>
      <c r="D24" s="3">
        <f>D23*0.055</f>
        <v>1796.2738750000001</v>
      </c>
      <c r="E24" s="9"/>
      <c r="F24" s="9"/>
      <c r="G24" s="9"/>
    </row>
    <row r="25" spans="1:7" x14ac:dyDescent="0.25">
      <c r="A25" s="1" t="s">
        <v>72</v>
      </c>
      <c r="B25" s="17">
        <f t="shared" si="0"/>
        <v>46893.65</v>
      </c>
      <c r="C25" s="1"/>
      <c r="D25" s="3">
        <f>D22+D23+D24</f>
        <v>45025.798875</v>
      </c>
      <c r="E25" s="9"/>
      <c r="F25" s="9"/>
      <c r="G25" s="9"/>
    </row>
    <row r="26" spans="1:7" x14ac:dyDescent="0.25">
      <c r="A26" s="1" t="s">
        <v>70</v>
      </c>
      <c r="B26" s="17">
        <f t="shared" si="0"/>
        <v>53106.35</v>
      </c>
      <c r="C26" s="1"/>
      <c r="D26" s="3">
        <f>D21-D25</f>
        <v>54974.201125</v>
      </c>
      <c r="E26" s="9"/>
      <c r="F26" s="19">
        <f>D26-B26</f>
        <v>1867.851125000001</v>
      </c>
      <c r="G26" s="9" t="s">
        <v>73</v>
      </c>
    </row>
    <row r="27" spans="1:7" x14ac:dyDescent="0.25">
      <c r="A27" s="1" t="s">
        <v>68</v>
      </c>
      <c r="B27" s="17">
        <f t="shared" si="0"/>
        <v>0</v>
      </c>
      <c r="C27" s="1"/>
      <c r="D27" s="3">
        <f>D22*0.7019625*0.25</f>
        <v>1854.9359062500005</v>
      </c>
      <c r="E27" s="9"/>
      <c r="F27" s="9"/>
      <c r="G27" s="9"/>
    </row>
    <row r="28" spans="1:7" x14ac:dyDescent="0.25">
      <c r="A28" s="1" t="s">
        <v>76</v>
      </c>
      <c r="B28" s="17">
        <f t="shared" si="0"/>
        <v>0</v>
      </c>
      <c r="C28" s="1"/>
      <c r="D28" s="3">
        <f>D27*0.055</f>
        <v>102.02147484375003</v>
      </c>
      <c r="E28" s="9"/>
      <c r="F28" s="9"/>
      <c r="G28" s="9"/>
    </row>
    <row r="29" spans="1:7" ht="19.5" customHeight="1" x14ac:dyDescent="0.4">
      <c r="A29" s="1" t="s">
        <v>69</v>
      </c>
      <c r="B29" s="17">
        <f t="shared" ref="B29" si="1">B17</f>
        <v>53106.35</v>
      </c>
      <c r="C29" s="4"/>
      <c r="D29" s="3">
        <f>D26-D27-D28</f>
        <v>53017.243743906249</v>
      </c>
      <c r="E29" s="9"/>
      <c r="F29" s="19">
        <f>D29-B29</f>
        <v>-89.106256093749835</v>
      </c>
      <c r="G29" s="9" t="s">
        <v>74</v>
      </c>
    </row>
    <row r="30" spans="1:7" ht="26.25" x14ac:dyDescent="0.4">
      <c r="A30" s="4"/>
      <c r="B30" s="4"/>
      <c r="C30" s="4"/>
      <c r="D30" s="20"/>
      <c r="E30" s="9"/>
      <c r="F30" s="9"/>
      <c r="G30" s="9"/>
    </row>
    <row r="31" spans="1:7" ht="26.25" x14ac:dyDescent="0.4">
      <c r="A31" s="4"/>
      <c r="B31" s="4"/>
      <c r="C31" s="4"/>
      <c r="D31" s="4"/>
      <c r="E31" s="4"/>
      <c r="F31" s="4"/>
      <c r="G31" s="4"/>
    </row>
    <row r="32" spans="1:7" ht="26.25" x14ac:dyDescent="0.4">
      <c r="A32" s="4"/>
      <c r="B32" s="4"/>
      <c r="C32" s="4"/>
      <c r="D32" s="4"/>
      <c r="E32" s="4"/>
      <c r="F32" s="4"/>
      <c r="G32" s="4"/>
    </row>
    <row r="33" spans="1:7" ht="26.25" x14ac:dyDescent="0.4">
      <c r="A33" s="4"/>
      <c r="B33" s="4"/>
      <c r="C33" s="4"/>
      <c r="D33" s="4"/>
      <c r="E33" s="4"/>
      <c r="F33" s="4"/>
      <c r="G33" s="4"/>
    </row>
    <row r="34" spans="1:7" ht="26.25" x14ac:dyDescent="0.4">
      <c r="A34" s="4"/>
      <c r="B34" s="4"/>
      <c r="C34" s="4"/>
      <c r="D34" s="4"/>
      <c r="E34" s="4"/>
      <c r="F34" s="4"/>
      <c r="G34" s="4"/>
    </row>
    <row r="35" spans="1:7" ht="26.25" x14ac:dyDescent="0.4">
      <c r="A35" s="4"/>
      <c r="B35" s="4"/>
      <c r="C35" s="4"/>
      <c r="D35" s="4"/>
      <c r="E35" s="4"/>
      <c r="F35" s="4"/>
      <c r="G35" s="4"/>
    </row>
  </sheetData>
  <mergeCells count="2">
    <mergeCell ref="A1:E1"/>
    <mergeCell ref="D3:G5"/>
  </mergeCells>
  <dataValidations count="1">
    <dataValidation errorStyle="information" allowBlank="1" showInputMessage="1" showErrorMessage="1" errorTitle="zeitliche Beschränkung" error="Achtung: Die degressive AfA in der Fassung des Wachstumschancengesetzes kann nur für Anschaffungen in der Zeit vom 01. April 2024 bis zum 31.Dezember 2024 in Anspruch genommen werden." sqref="B3" xr:uid="{096EAF46-3356-468F-8EDF-3BA4B3123B86}"/>
  </dataValidation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degressive Gebäude-AfA</vt:lpstr>
      <vt:lpstr>degressive Gebäude-AfA  mit 7b</vt:lpstr>
      <vt:lpstr>7g 2024</vt:lpstr>
      <vt:lpstr>degressive AfA 2024</vt:lpstr>
      <vt:lpstr>Thesaurierungsbesteuerung §34a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</dc:creator>
  <cp:lastModifiedBy>Lukas</cp:lastModifiedBy>
  <dcterms:created xsi:type="dcterms:W3CDTF">2023-09-19T15:59:17Z</dcterms:created>
  <dcterms:modified xsi:type="dcterms:W3CDTF">2024-05-02T07:43:10Z</dcterms:modified>
</cp:coreProperties>
</file>